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4635" tabRatio="885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1" sheetId="22" r:id="rId9"/>
    <sheet name="NL12" sheetId="14" r:id="rId10"/>
    <sheet name="NL13" sheetId="15" r:id="rId11"/>
    <sheet name="NL14" sheetId="16" r:id="rId12"/>
    <sheet name="NL15" sheetId="17" r:id="rId13"/>
    <sheet name="NL17" sheetId="18" r:id="rId14"/>
    <sheet name="NL18" sheetId="19" r:id="rId15"/>
    <sheet name="NL20" sheetId="4" r:id="rId16"/>
    <sheet name="NL26" sheetId="5" r:id="rId17"/>
    <sheet name="NL33" sheetId="2" r:id="rId18"/>
    <sheet name="NL36" sheetId="6" r:id="rId19"/>
    <sheet name="NL44" sheetId="21" r:id="rId20"/>
  </sheets>
  <calcPr calcId="152511"/>
</workbook>
</file>

<file path=xl/calcChain.xml><?xml version="1.0" encoding="utf-8"?>
<calcChain xmlns="http://schemas.openxmlformats.org/spreadsheetml/2006/main">
  <c r="U8" i="19" l="1"/>
  <c r="T15" i="18"/>
  <c r="BK10" i="21" l="1"/>
  <c r="BJ10" i="21"/>
  <c r="DQ11" i="6"/>
  <c r="DP11" i="6"/>
  <c r="DN11" i="6"/>
  <c r="DO11" i="6"/>
  <c r="AF8" i="19"/>
  <c r="AE15" i="18"/>
  <c r="Q9" i="19"/>
  <c r="Q8" i="19"/>
  <c r="P15" i="18"/>
  <c r="H8" i="19"/>
  <c r="J12" i="6"/>
  <c r="D8" i="19"/>
  <c r="CD33" i="14" l="1"/>
  <c r="CD29" i="14"/>
  <c r="CC19" i="14"/>
  <c r="CB19" i="14"/>
  <c r="BV14" i="14"/>
  <c r="BT31" i="14"/>
  <c r="BS31" i="14"/>
  <c r="BN35" i="14"/>
  <c r="BM35" i="14"/>
  <c r="BN19" i="14"/>
  <c r="BM19" i="14"/>
  <c r="BI33" i="14"/>
  <c r="BI29" i="14"/>
  <c r="BA24" i="7"/>
  <c r="AZ24" i="7"/>
  <c r="EO16" i="2"/>
  <c r="EN15" i="2"/>
  <c r="EM16" i="2"/>
  <c r="EM15" i="2"/>
  <c r="CO35" i="14"/>
  <c r="AM31" i="14" l="1"/>
  <c r="AL31" i="14"/>
  <c r="AC9" i="8"/>
  <c r="BE24" i="7" l="1"/>
  <c r="BD24" i="7"/>
  <c r="BC24" i="7"/>
  <c r="BB24" i="7"/>
  <c r="AW24" i="7"/>
  <c r="AV24" i="7"/>
  <c r="AF21" i="7"/>
  <c r="AT13" i="1"/>
  <c r="AA24" i="7" l="1"/>
  <c r="Z24" i="7"/>
  <c r="Y24" i="7" l="1"/>
  <c r="X24" i="7"/>
  <c r="W24" i="7" l="1"/>
  <c r="V24" i="7"/>
  <c r="AA19" i="14"/>
  <c r="Z19" i="14"/>
  <c r="U24" i="7"/>
  <c r="T24" i="7"/>
  <c r="Q24" i="7" l="1"/>
  <c r="P24" i="7"/>
  <c r="N8" i="1"/>
  <c r="R31" i="14"/>
  <c r="R19" i="14"/>
  <c r="R15" i="14"/>
  <c r="Q31" i="14"/>
  <c r="Q19" i="14"/>
  <c r="Q15" i="14"/>
  <c r="K24" i="7" l="1"/>
  <c r="J24" i="7"/>
  <c r="L31" i="14"/>
  <c r="F34" i="14" l="1"/>
  <c r="F18" i="14"/>
  <c r="C15" i="8"/>
  <c r="DU11" i="6" l="1"/>
  <c r="DT11" i="6"/>
  <c r="DS11" i="6"/>
  <c r="DR11" i="6"/>
  <c r="AF15" i="18" l="1"/>
  <c r="AF16" i="18" s="1"/>
  <c r="AE8" i="19" l="1"/>
  <c r="AD16" i="18"/>
  <c r="AD15" i="18"/>
  <c r="AC16" i="18"/>
  <c r="AC15" i="18"/>
  <c r="AC7" i="13"/>
  <c r="AB15" i="18"/>
  <c r="AA4" i="5"/>
  <c r="AB8" i="19"/>
  <c r="AA15" i="18"/>
  <c r="Z15" i="18"/>
  <c r="CS11" i="6"/>
  <c r="CR11" i="6"/>
  <c r="CQ11" i="6"/>
  <c r="CP11" i="6"/>
  <c r="Z7" i="19"/>
  <c r="Y15" i="18"/>
  <c r="CO11" i="6" l="1"/>
  <c r="CN11" i="6"/>
  <c r="CM11" i="6"/>
  <c r="CL11" i="6"/>
  <c r="X15" i="18"/>
  <c r="X11" i="16"/>
  <c r="U11" i="6" l="1"/>
  <c r="T11" i="6"/>
  <c r="S11" i="6"/>
  <c r="R11" i="6"/>
  <c r="AE16" i="18" l="1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B16" i="18"/>
  <c r="F15" i="18"/>
  <c r="F6" i="13"/>
  <c r="CK11" i="6" l="1"/>
  <c r="CJ11" i="6"/>
  <c r="CI11" i="6"/>
  <c r="CH11" i="6"/>
  <c r="X7" i="19"/>
  <c r="W15" i="18"/>
  <c r="W13" i="18"/>
  <c r="CG11" i="6"/>
  <c r="CF11" i="6"/>
  <c r="CE11" i="6"/>
  <c r="CD11" i="6"/>
  <c r="V15" i="18"/>
  <c r="CC11" i="6"/>
  <c r="CB11" i="6"/>
  <c r="CA11" i="6"/>
  <c r="BZ11" i="6"/>
  <c r="BU11" i="6" l="1"/>
  <c r="BT11" i="6"/>
  <c r="BS11" i="6"/>
  <c r="BR11" i="6"/>
  <c r="S15" i="18"/>
  <c r="S11" i="16"/>
  <c r="S6" i="13"/>
  <c r="S8" i="19"/>
  <c r="R15" i="18" l="1"/>
  <c r="BM11" i="6"/>
  <c r="BL11" i="6"/>
  <c r="BJ11" i="6"/>
  <c r="Q15" i="18"/>
  <c r="BE11" i="6" l="1"/>
  <c r="BD11" i="6"/>
  <c r="BC11" i="6" l="1"/>
  <c r="BB11" i="6"/>
  <c r="N15" i="18"/>
  <c r="AS11" i="6"/>
  <c r="AR11" i="6"/>
  <c r="AQ11" i="6"/>
  <c r="AP11" i="6"/>
  <c r="L15" i="18"/>
  <c r="L10" i="13"/>
  <c r="L6" i="13"/>
  <c r="C16" i="18"/>
  <c r="L8" i="19"/>
  <c r="J15" i="18" l="1"/>
  <c r="J7" i="19"/>
  <c r="I15" i="18"/>
  <c r="H15" i="18" l="1"/>
  <c r="G15" i="18"/>
  <c r="AW11" i="6" l="1"/>
  <c r="AV11" i="6"/>
  <c r="AU11" i="6"/>
  <c r="AT11" i="6"/>
  <c r="N7" i="19"/>
  <c r="M15" i="18"/>
  <c r="Q11" i="6" l="1"/>
  <c r="P11" i="6"/>
  <c r="O11" i="6"/>
  <c r="N11" i="6"/>
  <c r="E8" i="19"/>
  <c r="E15" i="18"/>
  <c r="I11" i="6"/>
  <c r="H11" i="6"/>
  <c r="G11" i="6"/>
  <c r="F11" i="6"/>
  <c r="C8" i="19"/>
  <c r="AS24" i="7" l="1"/>
  <c r="AR24" i="7"/>
  <c r="F9" i="19"/>
  <c r="BK8" i="1" l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M8" i="1"/>
  <c r="L8" i="1"/>
  <c r="K8" i="1"/>
  <c r="J8" i="1"/>
  <c r="I8" i="1"/>
  <c r="H8" i="1"/>
  <c r="G8" i="1"/>
  <c r="F8" i="1"/>
  <c r="E8" i="1"/>
  <c r="D8" i="1"/>
  <c r="C8" i="1"/>
  <c r="B8" i="1"/>
  <c r="BR33" i="14" l="1"/>
  <c r="BO33" i="14"/>
  <c r="BR29" i="14"/>
  <c r="BO29" i="14"/>
  <c r="BR13" i="14"/>
  <c r="BO13" i="14"/>
  <c r="W9" i="8" l="1"/>
  <c r="W16" i="8"/>
  <c r="AE16" i="8" l="1"/>
  <c r="CN20" i="14" l="1"/>
  <c r="AK33" i="14" l="1"/>
  <c r="T11" i="2" l="1"/>
  <c r="S11" i="2"/>
  <c r="Q11" i="2"/>
  <c r="R11" i="2"/>
  <c r="J34" i="14" l="1"/>
  <c r="J33" i="14"/>
  <c r="J31" i="14"/>
  <c r="J30" i="14"/>
  <c r="J29" i="14"/>
  <c r="J28" i="14"/>
  <c r="J23" i="14"/>
  <c r="J22" i="14"/>
  <c r="J19" i="14"/>
  <c r="J18" i="14"/>
  <c r="J14" i="14"/>
  <c r="J13" i="14"/>
  <c r="J10" i="14"/>
  <c r="J7" i="14"/>
  <c r="J6" i="14"/>
  <c r="D16" i="8"/>
  <c r="C16" i="8"/>
  <c r="G13" i="14" l="1"/>
  <c r="G12" i="14"/>
  <c r="AG8" i="8" l="1"/>
  <c r="AG7" i="8"/>
  <c r="AF9" i="8"/>
  <c r="AE9" i="8"/>
  <c r="AD9" i="8"/>
  <c r="AB9" i="8"/>
  <c r="AA9" i="8"/>
  <c r="Z9" i="8"/>
  <c r="Y9" i="8"/>
  <c r="X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L9" i="19" l="1"/>
  <c r="BC12" i="6"/>
  <c r="AG9" i="19" l="1"/>
  <c r="AF9" i="19"/>
  <c r="AE9" i="19"/>
  <c r="AD9" i="19"/>
  <c r="AC9" i="19"/>
  <c r="AB9" i="19"/>
  <c r="AA9" i="19"/>
  <c r="Z9" i="19"/>
  <c r="Y9" i="19"/>
  <c r="W9" i="19"/>
  <c r="V9" i="19"/>
  <c r="U9" i="19"/>
  <c r="T9" i="19"/>
  <c r="S9" i="19"/>
  <c r="R9" i="19"/>
  <c r="P9" i="19"/>
  <c r="O9" i="19"/>
  <c r="N9" i="19"/>
  <c r="M9" i="19"/>
  <c r="K9" i="19"/>
  <c r="J9" i="19"/>
  <c r="I9" i="19"/>
  <c r="H9" i="19"/>
  <c r="G9" i="19"/>
  <c r="E9" i="19"/>
  <c r="D9" i="19"/>
  <c r="C9" i="19"/>
  <c r="B9" i="19"/>
  <c r="X9" i="19"/>
  <c r="BS20" i="14" l="1"/>
  <c r="AU100" i="10" l="1"/>
  <c r="AT100" i="10"/>
  <c r="BM17" i="12" l="1"/>
  <c r="BL17" i="12"/>
  <c r="BM16" i="12"/>
  <c r="BL16" i="12"/>
  <c r="BM14" i="12"/>
  <c r="BL14" i="12"/>
  <c r="BM13" i="12"/>
  <c r="BL13" i="12"/>
  <c r="BM12" i="12"/>
  <c r="BL12" i="12"/>
  <c r="BM11" i="12"/>
  <c r="BL11" i="12"/>
  <c r="BM10" i="12"/>
  <c r="BL10" i="12"/>
  <c r="BM9" i="12"/>
  <c r="BL9" i="12"/>
  <c r="BM8" i="12"/>
  <c r="BL8" i="12"/>
  <c r="BM7" i="12"/>
  <c r="BL7" i="12"/>
  <c r="BM6" i="12"/>
  <c r="BL6" i="12"/>
  <c r="BM5" i="12"/>
  <c r="BL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BM24" i="7"/>
  <c r="BL24" i="7"/>
  <c r="BM22" i="7"/>
  <c r="BL22" i="7"/>
  <c r="BM20" i="7"/>
  <c r="BL20" i="7"/>
  <c r="BM19" i="7"/>
  <c r="BL19" i="7"/>
  <c r="BM18" i="7"/>
  <c r="BL18" i="7"/>
  <c r="BM16" i="7"/>
  <c r="BL16" i="7"/>
  <c r="BM14" i="7"/>
  <c r="BL14" i="7"/>
  <c r="BM13" i="7"/>
  <c r="BL13" i="7"/>
  <c r="BM12" i="7"/>
  <c r="BL12" i="7"/>
  <c r="BM11" i="7"/>
  <c r="BL11" i="7"/>
  <c r="BM10" i="7"/>
  <c r="BL10" i="7"/>
  <c r="BM8" i="7"/>
  <c r="BL8" i="7"/>
  <c r="BM7" i="7"/>
  <c r="BL7" i="7"/>
  <c r="BM6" i="7"/>
  <c r="BL6" i="7"/>
  <c r="BM14" i="1"/>
  <c r="BL14" i="1"/>
  <c r="BM12" i="1"/>
  <c r="BL12" i="1"/>
  <c r="BM11" i="1"/>
  <c r="BL11" i="1"/>
  <c r="BM10" i="1"/>
  <c r="BL10" i="1"/>
  <c r="BM9" i="1"/>
  <c r="BL9" i="1"/>
  <c r="BM6" i="1"/>
  <c r="BL6" i="1"/>
  <c r="BM5" i="1"/>
  <c r="BL5" i="1"/>
  <c r="BM111" i="11"/>
  <c r="BL111" i="11"/>
  <c r="BM110" i="11"/>
  <c r="BL110" i="11"/>
  <c r="BM109" i="11"/>
  <c r="BL109" i="11"/>
  <c r="BM108" i="11"/>
  <c r="BL108" i="11"/>
  <c r="BM107" i="11"/>
  <c r="BL107" i="11"/>
  <c r="BM106" i="11"/>
  <c r="BL106" i="11"/>
  <c r="BM105" i="11"/>
  <c r="BL105" i="11"/>
  <c r="BM89" i="11"/>
  <c r="BL89" i="11"/>
  <c r="BM88" i="11"/>
  <c r="BL88" i="11"/>
  <c r="BM87" i="11"/>
  <c r="BL87" i="11"/>
  <c r="BM86" i="11"/>
  <c r="BL86" i="11"/>
  <c r="BM85" i="11"/>
  <c r="BL85" i="11"/>
  <c r="BM84" i="11"/>
  <c r="BL84" i="11"/>
  <c r="BM83" i="11"/>
  <c r="BL83" i="11"/>
  <c r="BM78" i="11"/>
  <c r="BL78" i="11"/>
  <c r="BM77" i="11"/>
  <c r="BL77" i="11"/>
  <c r="BM76" i="11"/>
  <c r="BL76" i="11"/>
  <c r="BM75" i="11"/>
  <c r="BL75" i="11"/>
  <c r="BM74" i="11"/>
  <c r="BL74" i="11"/>
  <c r="BM73" i="11"/>
  <c r="BL73" i="11"/>
  <c r="BM72" i="11"/>
  <c r="BL72" i="11"/>
  <c r="BM67" i="11"/>
  <c r="BL67" i="11"/>
  <c r="BM66" i="11"/>
  <c r="BL66" i="11"/>
  <c r="BM65" i="11"/>
  <c r="BL65" i="11"/>
  <c r="BM64" i="11"/>
  <c r="BL64" i="11"/>
  <c r="BM63" i="11"/>
  <c r="BL63" i="11"/>
  <c r="BM62" i="11"/>
  <c r="BL62" i="11"/>
  <c r="BM61" i="11"/>
  <c r="BL61" i="11"/>
  <c r="BM56" i="11"/>
  <c r="BL56" i="11"/>
  <c r="BM55" i="11"/>
  <c r="BL55" i="11"/>
  <c r="BM54" i="11"/>
  <c r="BL54" i="11"/>
  <c r="BM53" i="11"/>
  <c r="BL53" i="11"/>
  <c r="BM52" i="11"/>
  <c r="BL52" i="11"/>
  <c r="BM51" i="11"/>
  <c r="BL51" i="11"/>
  <c r="BM50" i="11"/>
  <c r="BL50" i="11"/>
  <c r="BM45" i="11"/>
  <c r="BL45" i="11"/>
  <c r="BM44" i="11"/>
  <c r="BL44" i="11"/>
  <c r="BM43" i="11"/>
  <c r="BL43" i="11"/>
  <c r="BM42" i="11"/>
  <c r="BL42" i="11"/>
  <c r="BM41" i="11"/>
  <c r="BL41" i="11"/>
  <c r="BM40" i="11"/>
  <c r="BL40" i="11"/>
  <c r="BM39" i="11"/>
  <c r="BL39" i="11"/>
  <c r="BM34" i="11"/>
  <c r="BL34" i="11"/>
  <c r="BM33" i="11"/>
  <c r="BL33" i="11"/>
  <c r="BM32" i="11"/>
  <c r="BL32" i="11"/>
  <c r="BM31" i="11"/>
  <c r="BL31" i="11"/>
  <c r="BM30" i="11"/>
  <c r="BL30" i="11"/>
  <c r="BM29" i="11"/>
  <c r="BL29" i="11"/>
  <c r="BM28" i="11"/>
  <c r="BL28" i="11"/>
  <c r="BM23" i="11"/>
  <c r="BL23" i="11"/>
  <c r="BM22" i="11"/>
  <c r="BL22" i="11"/>
  <c r="BM21" i="11"/>
  <c r="BL21" i="11"/>
  <c r="BM20" i="11"/>
  <c r="BL20" i="11"/>
  <c r="BM19" i="11"/>
  <c r="BL19" i="11"/>
  <c r="BM18" i="11"/>
  <c r="BL18" i="11"/>
  <c r="BM17" i="11"/>
  <c r="BL17" i="11"/>
  <c r="BM12" i="11"/>
  <c r="BL12" i="11"/>
  <c r="BM11" i="11"/>
  <c r="BL11" i="11"/>
  <c r="BM10" i="11"/>
  <c r="BL10" i="11"/>
  <c r="BM9" i="11"/>
  <c r="BL9" i="11"/>
  <c r="BM8" i="11"/>
  <c r="BL8" i="11"/>
  <c r="BM7" i="11"/>
  <c r="BL7" i="11"/>
  <c r="BM6" i="11"/>
  <c r="BL6" i="11"/>
  <c r="BK97" i="11"/>
  <c r="BJ97" i="11"/>
  <c r="BI97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AJ97" i="11"/>
  <c r="AI97" i="11"/>
  <c r="AH97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B97" i="11"/>
  <c r="BK96" i="11"/>
  <c r="BJ96" i="11"/>
  <c r="BI96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AJ96" i="11"/>
  <c r="AI96" i="11"/>
  <c r="AH96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B96" i="11"/>
  <c r="BK95" i="11"/>
  <c r="BJ95" i="11"/>
  <c r="BI95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AJ95" i="11"/>
  <c r="AI95" i="11"/>
  <c r="AH95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B95" i="11"/>
  <c r="BM111" i="10"/>
  <c r="BL111" i="10"/>
  <c r="BM110" i="10"/>
  <c r="BL110" i="10"/>
  <c r="BM109" i="10"/>
  <c r="BL109" i="10"/>
  <c r="BM108" i="10"/>
  <c r="BL108" i="10"/>
  <c r="BM107" i="10"/>
  <c r="BL107" i="10"/>
  <c r="BM106" i="10"/>
  <c r="BL106" i="10"/>
  <c r="BM105" i="10"/>
  <c r="BL105" i="10"/>
  <c r="BM89" i="10"/>
  <c r="BL89" i="10"/>
  <c r="BM88" i="10"/>
  <c r="BL88" i="10"/>
  <c r="BM87" i="10"/>
  <c r="BL87" i="10"/>
  <c r="BM86" i="10"/>
  <c r="BL86" i="10"/>
  <c r="BM85" i="10"/>
  <c r="BL85" i="10"/>
  <c r="BM84" i="10"/>
  <c r="BL84" i="10"/>
  <c r="BM83" i="10"/>
  <c r="BL83" i="10"/>
  <c r="BM78" i="10"/>
  <c r="BL78" i="10"/>
  <c r="BM77" i="10"/>
  <c r="BL77" i="10"/>
  <c r="BM76" i="10"/>
  <c r="BL76" i="10"/>
  <c r="BM75" i="10"/>
  <c r="BL75" i="10"/>
  <c r="BM74" i="10"/>
  <c r="BL74" i="10"/>
  <c r="BM73" i="10"/>
  <c r="BL73" i="10"/>
  <c r="BM72" i="10"/>
  <c r="BL72" i="10"/>
  <c r="BM67" i="10"/>
  <c r="BL67" i="10"/>
  <c r="BM66" i="10"/>
  <c r="BL66" i="10"/>
  <c r="BM65" i="10"/>
  <c r="BL65" i="10"/>
  <c r="BM64" i="10"/>
  <c r="BL64" i="10"/>
  <c r="BM63" i="10"/>
  <c r="BL63" i="10"/>
  <c r="BM62" i="10"/>
  <c r="BL62" i="10"/>
  <c r="BM61" i="10"/>
  <c r="BL61" i="10"/>
  <c r="BM56" i="10"/>
  <c r="BL56" i="10"/>
  <c r="BM55" i="10"/>
  <c r="BL55" i="10"/>
  <c r="BM54" i="10"/>
  <c r="BL54" i="10"/>
  <c r="BM53" i="10"/>
  <c r="BL53" i="10"/>
  <c r="BM52" i="10"/>
  <c r="BL52" i="10"/>
  <c r="BM51" i="10"/>
  <c r="BL51" i="10"/>
  <c r="BM50" i="10"/>
  <c r="BL50" i="10"/>
  <c r="BM45" i="10"/>
  <c r="BL45" i="10"/>
  <c r="BM44" i="10"/>
  <c r="BL44" i="10"/>
  <c r="BM43" i="10"/>
  <c r="BL43" i="10"/>
  <c r="BM42" i="10"/>
  <c r="BL42" i="10"/>
  <c r="BM41" i="10"/>
  <c r="BL41" i="10"/>
  <c r="BM40" i="10"/>
  <c r="BL40" i="10"/>
  <c r="BM39" i="10"/>
  <c r="BL39" i="10"/>
  <c r="BM34" i="10"/>
  <c r="BL34" i="10"/>
  <c r="BM33" i="10"/>
  <c r="BL33" i="10"/>
  <c r="BM32" i="10"/>
  <c r="BL32" i="10"/>
  <c r="BM31" i="10"/>
  <c r="BL31" i="10"/>
  <c r="BM30" i="10"/>
  <c r="BL30" i="10"/>
  <c r="BM29" i="10"/>
  <c r="BL29" i="10"/>
  <c r="BM28" i="10"/>
  <c r="BL28" i="10"/>
  <c r="BM23" i="10"/>
  <c r="BL23" i="10"/>
  <c r="BM22" i="10"/>
  <c r="BL22" i="10"/>
  <c r="BM21" i="10"/>
  <c r="BL21" i="10"/>
  <c r="BM20" i="10"/>
  <c r="BL20" i="10"/>
  <c r="BM19" i="10"/>
  <c r="BL19" i="10"/>
  <c r="BM18" i="10"/>
  <c r="BL18" i="10"/>
  <c r="BM17" i="10"/>
  <c r="BL17" i="10"/>
  <c r="BM12" i="10"/>
  <c r="BL12" i="10"/>
  <c r="BM11" i="10"/>
  <c r="BL11" i="10"/>
  <c r="BM10" i="10"/>
  <c r="BL10" i="10"/>
  <c r="BM9" i="10"/>
  <c r="BL9" i="10"/>
  <c r="BM8" i="10"/>
  <c r="BL8" i="10"/>
  <c r="BM7" i="10"/>
  <c r="BL7" i="10"/>
  <c r="BM6" i="10"/>
  <c r="BL6" i="10"/>
  <c r="BM111" i="9"/>
  <c r="BL111" i="9"/>
  <c r="BM110" i="9"/>
  <c r="BL110" i="9"/>
  <c r="BM109" i="9"/>
  <c r="BL109" i="9"/>
  <c r="BM108" i="9"/>
  <c r="BL108" i="9"/>
  <c r="BM107" i="9"/>
  <c r="BL107" i="9"/>
  <c r="BM106" i="9"/>
  <c r="BL106" i="9"/>
  <c r="BM105" i="9"/>
  <c r="BL105" i="9"/>
  <c r="BM89" i="9"/>
  <c r="BL89" i="9"/>
  <c r="BM88" i="9"/>
  <c r="BL88" i="9"/>
  <c r="BM87" i="9"/>
  <c r="BL87" i="9"/>
  <c r="BM86" i="9"/>
  <c r="BL86" i="9"/>
  <c r="BM85" i="9"/>
  <c r="BL85" i="9"/>
  <c r="BM84" i="9"/>
  <c r="BL84" i="9"/>
  <c r="BM83" i="9"/>
  <c r="BL83" i="9"/>
  <c r="BM78" i="9"/>
  <c r="BL78" i="9"/>
  <c r="BM77" i="9"/>
  <c r="BL77" i="9"/>
  <c r="BM76" i="9"/>
  <c r="BL76" i="9"/>
  <c r="BM75" i="9"/>
  <c r="BL75" i="9"/>
  <c r="BM74" i="9"/>
  <c r="BL74" i="9"/>
  <c r="BM73" i="9"/>
  <c r="BL73" i="9"/>
  <c r="BM72" i="9"/>
  <c r="BL72" i="9"/>
  <c r="BM67" i="9"/>
  <c r="BL67" i="9"/>
  <c r="BM66" i="9"/>
  <c r="BL66" i="9"/>
  <c r="BM65" i="9"/>
  <c r="BL65" i="9"/>
  <c r="BM64" i="9"/>
  <c r="BL64" i="9"/>
  <c r="BM63" i="9"/>
  <c r="BL63" i="9"/>
  <c r="BM62" i="9"/>
  <c r="BL62" i="9"/>
  <c r="BM61" i="9"/>
  <c r="BL61" i="9"/>
  <c r="BM56" i="9"/>
  <c r="BL56" i="9"/>
  <c r="BM55" i="9"/>
  <c r="BL55" i="9"/>
  <c r="BM54" i="9"/>
  <c r="BL54" i="9"/>
  <c r="BM53" i="9"/>
  <c r="BL53" i="9"/>
  <c r="BM52" i="9"/>
  <c r="BL52" i="9"/>
  <c r="BM51" i="9"/>
  <c r="BL51" i="9"/>
  <c r="BM50" i="9"/>
  <c r="BL50" i="9"/>
  <c r="BM45" i="9"/>
  <c r="BL45" i="9"/>
  <c r="BM44" i="9"/>
  <c r="BL44" i="9"/>
  <c r="BM43" i="9"/>
  <c r="BL43" i="9"/>
  <c r="BM42" i="9"/>
  <c r="BL42" i="9"/>
  <c r="BM41" i="9"/>
  <c r="BL41" i="9"/>
  <c r="BM40" i="9"/>
  <c r="BL40" i="9"/>
  <c r="BM39" i="9"/>
  <c r="BL39" i="9"/>
  <c r="BM34" i="9"/>
  <c r="BL34" i="9"/>
  <c r="BM33" i="9"/>
  <c r="BL33" i="9"/>
  <c r="BM32" i="9"/>
  <c r="BL32" i="9"/>
  <c r="BM31" i="9"/>
  <c r="BL31" i="9"/>
  <c r="BM30" i="9"/>
  <c r="BL30" i="9"/>
  <c r="BM29" i="9"/>
  <c r="BL29" i="9"/>
  <c r="BM28" i="9"/>
  <c r="BL28" i="9"/>
  <c r="BM23" i="9"/>
  <c r="BL23" i="9"/>
  <c r="BM22" i="9"/>
  <c r="BL22" i="9"/>
  <c r="BM21" i="9"/>
  <c r="BL21" i="9"/>
  <c r="BM20" i="9"/>
  <c r="BL20" i="9"/>
  <c r="BM19" i="9"/>
  <c r="BL19" i="9"/>
  <c r="BM18" i="9"/>
  <c r="BL18" i="9"/>
  <c r="BM17" i="9"/>
  <c r="BL17" i="9"/>
  <c r="BM12" i="9"/>
  <c r="BL12" i="9"/>
  <c r="BM11" i="9"/>
  <c r="BL11" i="9"/>
  <c r="BM10" i="9"/>
  <c r="BL10" i="9"/>
  <c r="BM9" i="9"/>
  <c r="BL9" i="9"/>
  <c r="BM8" i="9"/>
  <c r="BL8" i="9"/>
  <c r="BM7" i="9"/>
  <c r="BL7" i="9"/>
  <c r="BM6" i="9"/>
  <c r="BL6" i="9"/>
  <c r="BK98" i="9"/>
  <c r="BJ98" i="9"/>
  <c r="BI98" i="9"/>
  <c r="BH98" i="9"/>
  <c r="BG98" i="9"/>
  <c r="BF98" i="9"/>
  <c r="BE98" i="9"/>
  <c r="BD98" i="9"/>
  <c r="BC98" i="9"/>
  <c r="BB98" i="9"/>
  <c r="BA98" i="9"/>
  <c r="AZ98" i="9"/>
  <c r="AY98" i="9"/>
  <c r="AX98" i="9"/>
  <c r="AW98" i="9"/>
  <c r="AV98" i="9"/>
  <c r="AU98" i="9"/>
  <c r="AT98" i="9"/>
  <c r="AS98" i="9"/>
  <c r="AR98" i="9"/>
  <c r="AQ98" i="9"/>
  <c r="AP98" i="9"/>
  <c r="AO98" i="9"/>
  <c r="AN98" i="9"/>
  <c r="AM98" i="9"/>
  <c r="AL98" i="9"/>
  <c r="AK98" i="9"/>
  <c r="AJ98" i="9"/>
  <c r="AI98" i="9"/>
  <c r="AH98" i="9"/>
  <c r="AG98" i="9"/>
  <c r="AF98" i="9"/>
  <c r="AE98" i="9"/>
  <c r="AD98" i="9"/>
  <c r="AC98" i="9"/>
  <c r="AB98" i="9"/>
  <c r="AA98" i="9"/>
  <c r="Z98" i="9"/>
  <c r="Y98" i="9"/>
  <c r="X98" i="9"/>
  <c r="W98" i="9"/>
  <c r="V98" i="9"/>
  <c r="U98" i="9"/>
  <c r="T98" i="9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B98" i="9"/>
  <c r="AB9" i="13"/>
  <c r="AA9" i="13"/>
  <c r="Z9" i="13"/>
  <c r="Y9" i="13"/>
  <c r="X9" i="13"/>
  <c r="W9" i="13"/>
  <c r="V9" i="13"/>
  <c r="U9" i="13"/>
  <c r="T9" i="13"/>
  <c r="R9" i="13"/>
  <c r="Q9" i="13"/>
  <c r="P9" i="13"/>
  <c r="O9" i="13"/>
  <c r="N9" i="13"/>
  <c r="M9" i="13"/>
  <c r="K9" i="13"/>
  <c r="J9" i="13"/>
  <c r="I9" i="13"/>
  <c r="H9" i="13"/>
  <c r="G9" i="13"/>
  <c r="F9" i="13"/>
  <c r="E9" i="13"/>
  <c r="D9" i="13"/>
  <c r="C9" i="13"/>
  <c r="B9" i="13"/>
  <c r="S9" i="13"/>
  <c r="L9" i="13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B15" i="17"/>
  <c r="AA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Z15" i="17"/>
  <c r="DE15" i="6"/>
  <c r="DD15" i="6"/>
  <c r="DC15" i="6"/>
  <c r="DB15" i="6"/>
  <c r="DE12" i="6"/>
  <c r="DD12" i="6"/>
  <c r="DC12" i="6"/>
  <c r="DB12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B12" i="6"/>
  <c r="BA12" i="6"/>
  <c r="AZ12" i="6"/>
  <c r="AY12" i="6"/>
  <c r="AX12" i="6"/>
  <c r="AV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I12" i="6"/>
  <c r="H12" i="6"/>
  <c r="G12" i="6"/>
  <c r="F12" i="6"/>
  <c r="E12" i="6"/>
  <c r="D12" i="6"/>
  <c r="C12" i="6"/>
  <c r="B12" i="6"/>
  <c r="CK12" i="6"/>
  <c r="CJ12" i="6"/>
  <c r="CI12" i="6"/>
  <c r="CH12" i="6"/>
  <c r="AW12" i="6"/>
  <c r="AU12" i="6"/>
  <c r="AT12" i="6"/>
  <c r="BM95" i="11" l="1"/>
  <c r="BL97" i="11"/>
  <c r="BL95" i="11"/>
  <c r="BM96" i="11"/>
  <c r="BL96" i="11"/>
  <c r="BM98" i="9"/>
  <c r="BL98" i="9"/>
  <c r="BM97" i="11"/>
  <c r="BM15" i="12"/>
  <c r="BL15" i="12"/>
  <c r="EY17" i="2"/>
  <c r="EX17" i="2"/>
  <c r="EW17" i="2"/>
  <c r="EV17" i="2"/>
  <c r="EV18" i="2" s="1"/>
  <c r="EU17" i="2"/>
  <c r="ET17" i="2"/>
  <c r="ES17" i="2"/>
  <c r="ER17" i="2"/>
  <c r="EQ17" i="2"/>
  <c r="EP17" i="2"/>
  <c r="EO17" i="2"/>
  <c r="EN17" i="2"/>
  <c r="EM17" i="2"/>
  <c r="EL17" i="2"/>
  <c r="EK17" i="2"/>
  <c r="EJ17" i="2"/>
  <c r="EI17" i="2"/>
  <c r="EH17" i="2"/>
  <c r="EG17" i="2"/>
  <c r="EG18" i="2" s="1"/>
  <c r="EF17" i="2"/>
  <c r="EE17" i="2"/>
  <c r="ED17" i="2"/>
  <c r="EC17" i="2"/>
  <c r="EB17" i="2"/>
  <c r="EA17" i="2"/>
  <c r="DZ17" i="2"/>
  <c r="DY17" i="2"/>
  <c r="DX17" i="2"/>
  <c r="DX18" i="2" s="1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R18" i="2" s="1"/>
  <c r="Q17" i="2"/>
  <c r="Q18" i="2" s="1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EZ17" i="2"/>
  <c r="EZ11" i="2"/>
  <c r="EY11" i="2"/>
  <c r="EY18" i="2" s="1"/>
  <c r="EX11" i="2"/>
  <c r="EW11" i="2"/>
  <c r="EV11" i="2"/>
  <c r="EU11" i="2"/>
  <c r="ET11" i="2"/>
  <c r="ES11" i="2"/>
  <c r="ER11" i="2"/>
  <c r="EQ11" i="2"/>
  <c r="EQ18" i="2" s="1"/>
  <c r="EP11" i="2"/>
  <c r="EO11" i="2"/>
  <c r="EN11" i="2"/>
  <c r="EM11" i="2"/>
  <c r="EL11" i="2"/>
  <c r="EK11" i="2"/>
  <c r="EJ11" i="2"/>
  <c r="EI11" i="2"/>
  <c r="EH11" i="2"/>
  <c r="EG11" i="2"/>
  <c r="EF11" i="2"/>
  <c r="EE11" i="2"/>
  <c r="ED11" i="2"/>
  <c r="EC11" i="2"/>
  <c r="EB11" i="2"/>
  <c r="EA11" i="2"/>
  <c r="EA18" i="2" s="1"/>
  <c r="DZ11" i="2"/>
  <c r="DZ18" i="2" s="1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I18" i="2" s="1"/>
  <c r="DH11" i="2"/>
  <c r="DG11" i="2"/>
  <c r="DF11" i="2"/>
  <c r="DE11" i="2"/>
  <c r="DD11" i="2"/>
  <c r="DC11" i="2"/>
  <c r="DB11" i="2"/>
  <c r="DB18" i="2" s="1"/>
  <c r="DA11" i="2"/>
  <c r="CZ11" i="2"/>
  <c r="CY11" i="2"/>
  <c r="CX11" i="2"/>
  <c r="CW11" i="2"/>
  <c r="CW18" i="2" s="1"/>
  <c r="CV11" i="2"/>
  <c r="CU11" i="2"/>
  <c r="CU18" i="2" s="1"/>
  <c r="CT11" i="2"/>
  <c r="CT18" i="2" s="1"/>
  <c r="CS11" i="2"/>
  <c r="CR11" i="2"/>
  <c r="CQ11" i="2"/>
  <c r="CP11" i="2"/>
  <c r="CO11" i="2"/>
  <c r="CN11" i="2"/>
  <c r="CM11" i="2"/>
  <c r="CL11" i="2"/>
  <c r="CL18" i="2" s="1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W18" i="2" s="1"/>
  <c r="BV11" i="2"/>
  <c r="BU11" i="2"/>
  <c r="BT11" i="2"/>
  <c r="BS11" i="2"/>
  <c r="BR11" i="2"/>
  <c r="BQ11" i="2"/>
  <c r="BP11" i="2"/>
  <c r="BO11" i="2"/>
  <c r="BO18" i="2" s="1"/>
  <c r="BN11" i="2"/>
  <c r="BM11" i="2"/>
  <c r="BL11" i="2"/>
  <c r="BL18" i="2" s="1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Y18" i="2" s="1"/>
  <c r="AX11" i="2"/>
  <c r="AW11" i="2"/>
  <c r="AV11" i="2"/>
  <c r="AU11" i="2"/>
  <c r="AT11" i="2"/>
  <c r="AS11" i="2"/>
  <c r="AR11" i="2"/>
  <c r="AQ11" i="2"/>
  <c r="AQ18" i="2" s="1"/>
  <c r="AP11" i="2"/>
  <c r="AO11" i="2"/>
  <c r="AN11" i="2"/>
  <c r="AM11" i="2"/>
  <c r="AL11" i="2"/>
  <c r="AK11" i="2"/>
  <c r="AJ11" i="2"/>
  <c r="AI11" i="2"/>
  <c r="AI18" i="2" s="1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P11" i="2"/>
  <c r="O11" i="2"/>
  <c r="N11" i="2"/>
  <c r="M11" i="2"/>
  <c r="M18" i="2" s="1"/>
  <c r="L11" i="2"/>
  <c r="K11" i="2"/>
  <c r="K18" i="2" s="1"/>
  <c r="J11" i="2"/>
  <c r="J18" i="2" s="1"/>
  <c r="I11" i="2"/>
  <c r="I18" i="2" s="1"/>
  <c r="H11" i="2"/>
  <c r="G11" i="2"/>
  <c r="F11" i="2"/>
  <c r="E11" i="2"/>
  <c r="D11" i="2"/>
  <c r="C11" i="2"/>
  <c r="B11" i="2"/>
  <c r="DY18" i="2"/>
  <c r="CS18" i="2"/>
  <c r="EI18" i="2" l="1"/>
  <c r="DH18" i="2"/>
  <c r="CZ18" i="2"/>
  <c r="CM18" i="2"/>
  <c r="CE18" i="2"/>
  <c r="BM18" i="2"/>
  <c r="BT18" i="2"/>
  <c r="BG18" i="2"/>
  <c r="AN18" i="2"/>
  <c r="AA18" i="2"/>
  <c r="X18" i="2"/>
  <c r="Y18" i="2"/>
  <c r="Z18" i="2"/>
  <c r="AH18" i="2"/>
  <c r="AP18" i="2"/>
  <c r="AX18" i="2"/>
  <c r="BF18" i="2"/>
  <c r="BV18" i="2"/>
  <c r="W18" i="2"/>
  <c r="AW18" i="2"/>
  <c r="CK18" i="2"/>
  <c r="DA18" i="2"/>
  <c r="L18" i="2"/>
  <c r="BX18" i="2"/>
  <c r="CV18" i="2"/>
  <c r="DL18" i="2"/>
  <c r="EJ18" i="2"/>
  <c r="H18" i="2"/>
  <c r="EK18" i="2"/>
  <c r="EP18" i="2"/>
  <c r="EO18" i="2"/>
  <c r="EN18" i="2"/>
  <c r="EM18" i="2"/>
  <c r="EF18" i="2"/>
  <c r="DW18" i="2"/>
  <c r="DR18" i="2"/>
  <c r="DT18" i="2"/>
  <c r="DQ18" i="2"/>
  <c r="DP18" i="2"/>
  <c r="DJ18" i="2"/>
  <c r="EH18" i="2"/>
  <c r="ER18" i="2"/>
  <c r="EU18" i="2"/>
  <c r="EX18" i="2"/>
  <c r="EW18" i="2"/>
  <c r="EZ18" i="2"/>
  <c r="CR18" i="2"/>
  <c r="CQ18" i="2"/>
  <c r="CN18" i="2"/>
  <c r="CJ18" i="2"/>
  <c r="CI18" i="2"/>
  <c r="CC18" i="2"/>
  <c r="BY18" i="2"/>
  <c r="BU18" i="2"/>
  <c r="BN18" i="2"/>
  <c r="BK18" i="2"/>
  <c r="AV18" i="2"/>
  <c r="AU18" i="2"/>
  <c r="AO18" i="2"/>
  <c r="AM18" i="2"/>
  <c r="AK18" i="2"/>
  <c r="AF18" i="2"/>
  <c r="AG18" i="2"/>
  <c r="AE18" i="2"/>
  <c r="BE18" i="2"/>
  <c r="P18" i="2"/>
  <c r="O18" i="2"/>
  <c r="G18" i="2"/>
  <c r="F18" i="2"/>
  <c r="V18" i="2"/>
  <c r="AL18" i="2"/>
  <c r="BJ18" i="2"/>
  <c r="CP18" i="2"/>
  <c r="DV18" i="2"/>
  <c r="ET18" i="2"/>
  <c r="N18" i="2"/>
  <c r="AD18" i="2"/>
  <c r="AT18" i="2"/>
  <c r="EL18" i="2"/>
  <c r="CB18" i="2"/>
  <c r="CD18" i="2"/>
  <c r="D18" i="2"/>
  <c r="AB18" i="2"/>
  <c r="AJ18" i="2"/>
  <c r="AR18" i="2"/>
  <c r="AZ18" i="2"/>
  <c r="BH18" i="2"/>
  <c r="BP18" i="2"/>
  <c r="CF18" i="2"/>
  <c r="E18" i="2"/>
  <c r="U18" i="2"/>
  <c r="AC18" i="2"/>
  <c r="AS18" i="2"/>
  <c r="BI18" i="2"/>
  <c r="BQ18" i="2"/>
  <c r="CG18" i="2"/>
  <c r="CO18" i="2"/>
  <c r="DM18" i="2"/>
  <c r="ES18" i="2"/>
  <c r="DS18" i="2"/>
  <c r="DU18" i="2"/>
  <c r="DG18" i="2"/>
  <c r="DF18" i="2"/>
  <c r="DC18" i="2"/>
  <c r="DE18" i="2"/>
  <c r="DD18" i="2"/>
  <c r="CA18" i="2"/>
  <c r="BZ18" i="2"/>
  <c r="CH18" i="2"/>
  <c r="C18" i="2"/>
  <c r="B18" i="2"/>
  <c r="EE18" i="2"/>
  <c r="ED18" i="2"/>
  <c r="EC18" i="2"/>
  <c r="EB18" i="2"/>
  <c r="DO18" i="2"/>
  <c r="DN18" i="2"/>
  <c r="DK18" i="2"/>
  <c r="CY18" i="2"/>
  <c r="CX18" i="2"/>
  <c r="BS18" i="2"/>
  <c r="BR18" i="2"/>
  <c r="BD18" i="2"/>
  <c r="BC18" i="2"/>
  <c r="BB18" i="2"/>
  <c r="BA18" i="2"/>
  <c r="T18" i="2"/>
  <c r="S18" i="2"/>
  <c r="BK99" i="9" l="1"/>
  <c r="BJ99" i="9"/>
  <c r="BI99" i="9"/>
  <c r="BH99" i="9"/>
  <c r="BG99" i="9"/>
  <c r="BF99" i="9"/>
  <c r="BE99" i="9"/>
  <c r="BD99" i="9"/>
  <c r="BC99" i="9"/>
  <c r="BB99" i="9"/>
  <c r="BA99" i="9"/>
  <c r="AZ99" i="9"/>
  <c r="AY99" i="9"/>
  <c r="AX99" i="9"/>
  <c r="AW99" i="9"/>
  <c r="AV99" i="9"/>
  <c r="AU99" i="9"/>
  <c r="AT99" i="9"/>
  <c r="AS99" i="9"/>
  <c r="AR99" i="9"/>
  <c r="AQ99" i="9"/>
  <c r="AP99" i="9"/>
  <c r="AO99" i="9"/>
  <c r="AN99" i="9"/>
  <c r="AM99" i="9"/>
  <c r="AL99" i="9"/>
  <c r="AK99" i="9"/>
  <c r="AJ99" i="9"/>
  <c r="AI99" i="9"/>
  <c r="AH99" i="9"/>
  <c r="AG99" i="9"/>
  <c r="AF99" i="9"/>
  <c r="AE99" i="9"/>
  <c r="AD99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B99" i="9"/>
  <c r="Z16" i="8"/>
  <c r="AC16" i="8"/>
  <c r="I16" i="8"/>
  <c r="BM99" i="9" l="1"/>
  <c r="BL99" i="9"/>
  <c r="AA16" i="8"/>
  <c r="CJ35" i="14" l="1"/>
  <c r="CJ34" i="14"/>
  <c r="CJ33" i="14"/>
  <c r="CJ32" i="14"/>
  <c r="CJ31" i="14"/>
  <c r="CJ30" i="14"/>
  <c r="CJ28" i="14"/>
  <c r="CJ27" i="14"/>
  <c r="CJ26" i="14"/>
  <c r="CJ25" i="14"/>
  <c r="CJ24" i="14"/>
  <c r="CJ23" i="14"/>
  <c r="CJ22" i="14"/>
  <c r="CJ19" i="14"/>
  <c r="CJ18" i="14"/>
  <c r="CJ17" i="14"/>
  <c r="CJ16" i="14"/>
  <c r="CJ15" i="14"/>
  <c r="CJ14" i="14"/>
  <c r="CJ12" i="14"/>
  <c r="CJ11" i="14"/>
  <c r="CJ10" i="14"/>
  <c r="CJ7" i="14"/>
  <c r="CJ6" i="14"/>
  <c r="BC6" i="14"/>
  <c r="BC7" i="14"/>
  <c r="AQ18" i="14"/>
  <c r="AQ17" i="14"/>
  <c r="AQ16" i="14"/>
  <c r="AQ15" i="14"/>
  <c r="AQ14" i="14"/>
  <c r="AQ12" i="14"/>
  <c r="AQ11" i="14"/>
  <c r="AQ10" i="14"/>
  <c r="AQ9" i="14"/>
  <c r="AQ8" i="14"/>
  <c r="AQ7" i="14"/>
  <c r="AQ6" i="14"/>
  <c r="AD16" i="8" l="1"/>
  <c r="G16" i="8" l="1"/>
  <c r="CB36" i="14" l="1"/>
  <c r="CC36" i="14"/>
  <c r="AG16" i="17" l="1"/>
  <c r="DA12" i="6" l="1"/>
  <c r="AD54" i="15" l="1"/>
  <c r="CP35" i="14" l="1"/>
  <c r="CP34" i="14"/>
  <c r="CP33" i="14"/>
  <c r="CP30" i="14"/>
  <c r="CP28" i="14"/>
  <c r="CP22" i="14"/>
  <c r="CP19" i="14"/>
  <c r="CP18" i="14"/>
  <c r="CP14" i="14"/>
  <c r="CP10" i="14"/>
  <c r="CP6" i="14"/>
  <c r="BX33" i="14"/>
  <c r="BX14" i="14"/>
  <c r="BX10" i="14"/>
  <c r="BX7" i="14"/>
  <c r="BX6" i="14"/>
  <c r="V33" i="14"/>
  <c r="BL34" i="14" l="1"/>
  <c r="BL30" i="14"/>
  <c r="BL28" i="14"/>
  <c r="BL27" i="14"/>
  <c r="BL22" i="14"/>
  <c r="BL18" i="14"/>
  <c r="BL16" i="14"/>
  <c r="BL15" i="14"/>
  <c r="BL14" i="14"/>
  <c r="BL11" i="14"/>
  <c r="BL10" i="14"/>
  <c r="BL7" i="14"/>
  <c r="BL6" i="14"/>
  <c r="BX34" i="14"/>
  <c r="BX30" i="14"/>
  <c r="BX28" i="14"/>
  <c r="BX23" i="14"/>
  <c r="BX22" i="14"/>
  <c r="BX19" i="14"/>
  <c r="BX18" i="14"/>
  <c r="AA13" i="1" l="1"/>
  <c r="AA15" i="1"/>
  <c r="AF16" i="8" l="1"/>
  <c r="AB16" i="8"/>
  <c r="Y16" i="8"/>
  <c r="X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H16" i="8"/>
  <c r="F16" i="8"/>
  <c r="B16" i="8"/>
  <c r="E16" i="8"/>
  <c r="O15" i="1" l="1"/>
  <c r="O13" i="1"/>
  <c r="AQ13" i="1" l="1"/>
  <c r="AQ15" i="1" l="1"/>
  <c r="AF23" i="7" l="1"/>
  <c r="AF25" i="7" s="1"/>
  <c r="AF15" i="7"/>
  <c r="AG15" i="1" l="1"/>
  <c r="AG13" i="1"/>
  <c r="AM13" i="1" l="1"/>
  <c r="AC15" i="1" l="1"/>
  <c r="AC13" i="1"/>
  <c r="I15" i="1"/>
  <c r="H15" i="1"/>
  <c r="G15" i="1"/>
  <c r="F15" i="1"/>
  <c r="E15" i="1"/>
  <c r="D15" i="1"/>
  <c r="C15" i="1"/>
  <c r="I13" i="1"/>
  <c r="H13" i="1"/>
  <c r="G13" i="1"/>
  <c r="F13" i="1"/>
  <c r="E13" i="1"/>
  <c r="D13" i="1"/>
  <c r="C13" i="1"/>
  <c r="BI15" i="1"/>
  <c r="BG15" i="1"/>
  <c r="BF15" i="1"/>
  <c r="BI13" i="1"/>
  <c r="BG13" i="1"/>
  <c r="BF13" i="1"/>
  <c r="BC15" i="1"/>
  <c r="BC13" i="1"/>
  <c r="BA13" i="1"/>
  <c r="AY15" i="1"/>
  <c r="AY13" i="1"/>
  <c r="AS15" i="1"/>
  <c r="AS13" i="1"/>
  <c r="AE15" i="1"/>
  <c r="AE13" i="1"/>
  <c r="Y15" i="1"/>
  <c r="Y13" i="1"/>
  <c r="W15" i="1"/>
  <c r="W13" i="1"/>
  <c r="BA15" i="1" l="1"/>
  <c r="M15" i="1"/>
  <c r="M13" i="1"/>
  <c r="BZ20" i="14"/>
  <c r="AI15" i="1" l="1"/>
  <c r="AI13" i="1" l="1"/>
  <c r="CO36" i="14"/>
  <c r="CN36" i="14"/>
  <c r="CP32" i="14"/>
  <c r="CP31" i="14"/>
  <c r="CP27" i="14"/>
  <c r="CP26" i="14"/>
  <c r="CP25" i="14"/>
  <c r="CP24" i="14"/>
  <c r="CP23" i="14"/>
  <c r="CO20" i="14"/>
  <c r="CP17" i="14"/>
  <c r="CP16" i="14"/>
  <c r="CP15" i="14"/>
  <c r="CP12" i="14"/>
  <c r="CP11" i="14"/>
  <c r="CP9" i="14"/>
  <c r="CP8" i="14"/>
  <c r="CP7" i="14"/>
  <c r="BK15" i="1"/>
  <c r="S100" i="9"/>
  <c r="S97" i="9"/>
  <c r="S96" i="9"/>
  <c r="S95" i="9"/>
  <c r="S94" i="9"/>
  <c r="S15" i="1"/>
  <c r="S13" i="1"/>
  <c r="CO37" i="14" l="1"/>
  <c r="CP36" i="14"/>
  <c r="CP20" i="14"/>
  <c r="CN37" i="14"/>
  <c r="BK13" i="1"/>
  <c r="CP37" i="14" l="1"/>
  <c r="AU15" i="1" l="1"/>
  <c r="AU13" i="1"/>
  <c r="U15" i="1"/>
  <c r="U13" i="1"/>
  <c r="Q15" i="1"/>
  <c r="Q13" i="1"/>
  <c r="BT36" i="14"/>
  <c r="BS36" i="14"/>
  <c r="BU35" i="14"/>
  <c r="BU34" i="14"/>
  <c r="BU32" i="14"/>
  <c r="BU31" i="14"/>
  <c r="BU30" i="14"/>
  <c r="BU28" i="14"/>
  <c r="BU27" i="14"/>
  <c r="BU26" i="14"/>
  <c r="BU25" i="14"/>
  <c r="BU24" i="14"/>
  <c r="BU23" i="14"/>
  <c r="BU22" i="14"/>
  <c r="BT20" i="14"/>
  <c r="BU19" i="14"/>
  <c r="BU18" i="14"/>
  <c r="BU17" i="14"/>
  <c r="BU16" i="14"/>
  <c r="BU15" i="14"/>
  <c r="BU14" i="14"/>
  <c r="BU12" i="14"/>
  <c r="BU11" i="14"/>
  <c r="BU10" i="14"/>
  <c r="BU9" i="14"/>
  <c r="BU8" i="14"/>
  <c r="BU7" i="14"/>
  <c r="BU6" i="14"/>
  <c r="AW100" i="10"/>
  <c r="AV100" i="10"/>
  <c r="AW99" i="10"/>
  <c r="AV99" i="10"/>
  <c r="AW98" i="10"/>
  <c r="AV98" i="10"/>
  <c r="AW97" i="10"/>
  <c r="AV97" i="10"/>
  <c r="AW96" i="10"/>
  <c r="AV96" i="10"/>
  <c r="AW95" i="10"/>
  <c r="AV95" i="10"/>
  <c r="AW94" i="10"/>
  <c r="AV94" i="10"/>
  <c r="AW15" i="1"/>
  <c r="AW13" i="1"/>
  <c r="BU20" i="14" l="1"/>
  <c r="BU36" i="14"/>
  <c r="AO13" i="1"/>
  <c r="AO15" i="1"/>
  <c r="BT37" i="14"/>
  <c r="BS37" i="14"/>
  <c r="DU15" i="6"/>
  <c r="DT15" i="6"/>
  <c r="DS15" i="6"/>
  <c r="DR15" i="6"/>
  <c r="DQ15" i="6"/>
  <c r="DO15" i="6"/>
  <c r="DN15" i="6"/>
  <c r="DM15" i="6"/>
  <c r="DL15" i="6"/>
  <c r="DK15" i="6"/>
  <c r="DJ15" i="6"/>
  <c r="DI15" i="6"/>
  <c r="DH15" i="6"/>
  <c r="DG15" i="6"/>
  <c r="DF15" i="6"/>
  <c r="DA15" i="6"/>
  <c r="CZ15" i="6"/>
  <c r="CY15" i="6"/>
  <c r="CX15" i="6"/>
  <c r="DU12" i="6"/>
  <c r="DT12" i="6"/>
  <c r="DS12" i="6"/>
  <c r="DR12" i="6"/>
  <c r="DQ12" i="6"/>
  <c r="DO12" i="6"/>
  <c r="DN12" i="6"/>
  <c r="DM12" i="6"/>
  <c r="DL12" i="6"/>
  <c r="DK12" i="6"/>
  <c r="DJ12" i="6"/>
  <c r="DI12" i="6"/>
  <c r="DH12" i="6"/>
  <c r="DG12" i="6"/>
  <c r="DF12" i="6"/>
  <c r="CZ12" i="6"/>
  <c r="CY12" i="6"/>
  <c r="CX12" i="6"/>
  <c r="BK100" i="11"/>
  <c r="BJ100" i="11"/>
  <c r="BI100" i="11"/>
  <c r="BH100" i="11"/>
  <c r="BG100" i="11"/>
  <c r="BF100" i="11"/>
  <c r="BE100" i="11"/>
  <c r="BD100" i="11"/>
  <c r="BC100" i="11"/>
  <c r="BB100" i="11"/>
  <c r="BA100" i="11"/>
  <c r="AZ100" i="11"/>
  <c r="AY100" i="11"/>
  <c r="AX100" i="11"/>
  <c r="AW100" i="11"/>
  <c r="AV100" i="11"/>
  <c r="AU100" i="11"/>
  <c r="AT100" i="11"/>
  <c r="AS100" i="11"/>
  <c r="AR100" i="11"/>
  <c r="AQ100" i="11"/>
  <c r="AP100" i="11"/>
  <c r="AO100" i="11"/>
  <c r="AN100" i="11"/>
  <c r="AM100" i="11"/>
  <c r="AL100" i="11"/>
  <c r="AK100" i="11"/>
  <c r="AJ100" i="11"/>
  <c r="AI100" i="11"/>
  <c r="AH100" i="11"/>
  <c r="AG100" i="11"/>
  <c r="AF100" i="11"/>
  <c r="BK99" i="11"/>
  <c r="BJ99" i="11"/>
  <c r="BI99" i="11"/>
  <c r="BH99" i="11"/>
  <c r="BG99" i="11"/>
  <c r="BF99" i="11"/>
  <c r="BE99" i="11"/>
  <c r="BD99" i="11"/>
  <c r="BC99" i="11"/>
  <c r="BB99" i="11"/>
  <c r="BA99" i="11"/>
  <c r="AZ99" i="11"/>
  <c r="AY99" i="11"/>
  <c r="AX99" i="11"/>
  <c r="AW99" i="11"/>
  <c r="AV99" i="11"/>
  <c r="AU99" i="11"/>
  <c r="AT99" i="11"/>
  <c r="AS99" i="11"/>
  <c r="AR99" i="11"/>
  <c r="AQ99" i="11"/>
  <c r="AP99" i="11"/>
  <c r="AO99" i="11"/>
  <c r="AN99" i="11"/>
  <c r="AM99" i="11"/>
  <c r="AL99" i="11"/>
  <c r="AK99" i="11"/>
  <c r="AJ99" i="11"/>
  <c r="AI99" i="11"/>
  <c r="AH99" i="11"/>
  <c r="AG99" i="11"/>
  <c r="AF99" i="11"/>
  <c r="BK98" i="11"/>
  <c r="BJ98" i="11"/>
  <c r="BI98" i="11"/>
  <c r="BH98" i="11"/>
  <c r="BG98" i="11"/>
  <c r="BF98" i="11"/>
  <c r="BE98" i="11"/>
  <c r="BD98" i="11"/>
  <c r="BC98" i="11"/>
  <c r="BB98" i="11"/>
  <c r="BA98" i="11"/>
  <c r="AZ98" i="11"/>
  <c r="AY98" i="11"/>
  <c r="AX98" i="11"/>
  <c r="AW98" i="11"/>
  <c r="AV98" i="11"/>
  <c r="AU98" i="11"/>
  <c r="AT98" i="11"/>
  <c r="AS98" i="11"/>
  <c r="AR98" i="11"/>
  <c r="AQ98" i="11"/>
  <c r="AP98" i="11"/>
  <c r="AO98" i="11"/>
  <c r="AN98" i="11"/>
  <c r="AM98" i="11"/>
  <c r="AL98" i="11"/>
  <c r="AK98" i="11"/>
  <c r="AJ98" i="11"/>
  <c r="AI98" i="11"/>
  <c r="AH98" i="11"/>
  <c r="AG98" i="11"/>
  <c r="AF98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I94" i="11"/>
  <c r="AH94" i="11"/>
  <c r="AG94" i="11"/>
  <c r="AF94" i="11"/>
  <c r="BK100" i="10"/>
  <c r="BJ100" i="10"/>
  <c r="BI100" i="10"/>
  <c r="BH100" i="10"/>
  <c r="BG100" i="10"/>
  <c r="BF100" i="10"/>
  <c r="BE100" i="10"/>
  <c r="BD100" i="10"/>
  <c r="BC100" i="10"/>
  <c r="BB100" i="10"/>
  <c r="BA100" i="10"/>
  <c r="AZ100" i="10"/>
  <c r="AY100" i="10"/>
  <c r="AX100" i="10"/>
  <c r="AS100" i="10"/>
  <c r="AR100" i="10"/>
  <c r="AQ100" i="10"/>
  <c r="AP100" i="10"/>
  <c r="AO100" i="10"/>
  <c r="AN100" i="10"/>
  <c r="AM100" i="10"/>
  <c r="AL100" i="10"/>
  <c r="AK100" i="10"/>
  <c r="AJ100" i="10"/>
  <c r="AI100" i="10"/>
  <c r="AH100" i="10"/>
  <c r="AG100" i="10"/>
  <c r="AF100" i="10"/>
  <c r="BK99" i="10"/>
  <c r="BJ99" i="10"/>
  <c r="BI99" i="10"/>
  <c r="BH99" i="10"/>
  <c r="BG99" i="10"/>
  <c r="BF99" i="10"/>
  <c r="BE99" i="10"/>
  <c r="BD99" i="10"/>
  <c r="BC99" i="10"/>
  <c r="BB99" i="10"/>
  <c r="BA99" i="10"/>
  <c r="AZ99" i="10"/>
  <c r="AY99" i="10"/>
  <c r="AX99" i="10"/>
  <c r="AU99" i="10"/>
  <c r="AT99" i="10"/>
  <c r="AS99" i="10"/>
  <c r="AR99" i="10"/>
  <c r="AQ99" i="10"/>
  <c r="AP99" i="10"/>
  <c r="AO99" i="10"/>
  <c r="AN99" i="10"/>
  <c r="AM99" i="10"/>
  <c r="AL99" i="10"/>
  <c r="AK99" i="10"/>
  <c r="AJ99" i="10"/>
  <c r="AI99" i="10"/>
  <c r="AH99" i="10"/>
  <c r="AG99" i="10"/>
  <c r="AF99" i="10"/>
  <c r="BK98" i="10"/>
  <c r="BJ98" i="10"/>
  <c r="BI98" i="10"/>
  <c r="BH98" i="10"/>
  <c r="BG98" i="10"/>
  <c r="BF98" i="10"/>
  <c r="BE98" i="10"/>
  <c r="BD98" i="10"/>
  <c r="BC98" i="10"/>
  <c r="BB98" i="10"/>
  <c r="BA98" i="10"/>
  <c r="AZ98" i="10"/>
  <c r="AY98" i="10"/>
  <c r="AX98" i="10"/>
  <c r="AU98" i="10"/>
  <c r="AT98" i="10"/>
  <c r="AS98" i="10"/>
  <c r="AR98" i="10"/>
  <c r="AQ98" i="10"/>
  <c r="AP98" i="10"/>
  <c r="AO98" i="10"/>
  <c r="AN98" i="10"/>
  <c r="AM98" i="10"/>
  <c r="AL98" i="10"/>
  <c r="AK98" i="10"/>
  <c r="AJ98" i="10"/>
  <c r="AI98" i="10"/>
  <c r="AH98" i="10"/>
  <c r="AG98" i="10"/>
  <c r="AF98" i="10"/>
  <c r="BK97" i="10"/>
  <c r="BJ97" i="10"/>
  <c r="BI97" i="10"/>
  <c r="BH97" i="10"/>
  <c r="BG97" i="10"/>
  <c r="BF97" i="10"/>
  <c r="BE97" i="10"/>
  <c r="BD97" i="10"/>
  <c r="BC97" i="10"/>
  <c r="BB97" i="10"/>
  <c r="BA97" i="10"/>
  <c r="AZ97" i="10"/>
  <c r="AY97" i="10"/>
  <c r="AX97" i="10"/>
  <c r="AU97" i="10"/>
  <c r="AT97" i="10"/>
  <c r="AS97" i="10"/>
  <c r="AR97" i="10"/>
  <c r="AQ97" i="10"/>
  <c r="AP97" i="10"/>
  <c r="AO97" i="10"/>
  <c r="AN97" i="10"/>
  <c r="AM97" i="10"/>
  <c r="AL97" i="10"/>
  <c r="AK97" i="10"/>
  <c r="AJ97" i="10"/>
  <c r="AI97" i="10"/>
  <c r="AH97" i="10"/>
  <c r="AG97" i="10"/>
  <c r="AF97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I96" i="10"/>
  <c r="AH96" i="10"/>
  <c r="AG96" i="10"/>
  <c r="AF96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I95" i="10"/>
  <c r="AH95" i="10"/>
  <c r="AG95" i="10"/>
  <c r="AF95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I94" i="10"/>
  <c r="AH94" i="10"/>
  <c r="AG94" i="10"/>
  <c r="AF94" i="10"/>
  <c r="AF100" i="9"/>
  <c r="AF97" i="9"/>
  <c r="AF96" i="9"/>
  <c r="AF95" i="9"/>
  <c r="AF94" i="9"/>
  <c r="BK100" i="9"/>
  <c r="BJ100" i="9"/>
  <c r="BI100" i="9"/>
  <c r="BH100" i="9"/>
  <c r="BG100" i="9"/>
  <c r="BF100" i="9"/>
  <c r="BE100" i="9"/>
  <c r="BD100" i="9"/>
  <c r="BC100" i="9"/>
  <c r="BB100" i="9"/>
  <c r="BA100" i="9"/>
  <c r="AZ100" i="9"/>
  <c r="AY100" i="9"/>
  <c r="AX100" i="9"/>
  <c r="AW100" i="9"/>
  <c r="AV100" i="9"/>
  <c r="AU100" i="9"/>
  <c r="AT100" i="9"/>
  <c r="AS100" i="9"/>
  <c r="AR100" i="9"/>
  <c r="AQ100" i="9"/>
  <c r="AP100" i="9"/>
  <c r="AO100" i="9"/>
  <c r="AN100" i="9"/>
  <c r="AM100" i="9"/>
  <c r="AL100" i="9"/>
  <c r="AK100" i="9"/>
  <c r="AJ100" i="9"/>
  <c r="AI100" i="9"/>
  <c r="AH100" i="9"/>
  <c r="AG100" i="9"/>
  <c r="BK97" i="9"/>
  <c r="BJ97" i="9"/>
  <c r="BI97" i="9"/>
  <c r="BH97" i="9"/>
  <c r="BG97" i="9"/>
  <c r="BF97" i="9"/>
  <c r="BE97" i="9"/>
  <c r="BD97" i="9"/>
  <c r="BC97" i="9"/>
  <c r="BB97" i="9"/>
  <c r="BA97" i="9"/>
  <c r="AZ97" i="9"/>
  <c r="AY97" i="9"/>
  <c r="AX97" i="9"/>
  <c r="AW97" i="9"/>
  <c r="AV97" i="9"/>
  <c r="AU97" i="9"/>
  <c r="AT97" i="9"/>
  <c r="AS97" i="9"/>
  <c r="AR97" i="9"/>
  <c r="AQ97" i="9"/>
  <c r="AP97" i="9"/>
  <c r="AO97" i="9"/>
  <c r="AN97" i="9"/>
  <c r="AM97" i="9"/>
  <c r="AL97" i="9"/>
  <c r="AK97" i="9"/>
  <c r="AJ97" i="9"/>
  <c r="AI97" i="9"/>
  <c r="AH97" i="9"/>
  <c r="AG97" i="9"/>
  <c r="BK96" i="9"/>
  <c r="BJ96" i="9"/>
  <c r="BI96" i="9"/>
  <c r="BH96" i="9"/>
  <c r="BG96" i="9"/>
  <c r="BF96" i="9"/>
  <c r="BE96" i="9"/>
  <c r="BD96" i="9"/>
  <c r="BC96" i="9"/>
  <c r="BB96" i="9"/>
  <c r="BA96" i="9"/>
  <c r="AZ96" i="9"/>
  <c r="AY96" i="9"/>
  <c r="AX96" i="9"/>
  <c r="AW96" i="9"/>
  <c r="AV96" i="9"/>
  <c r="AU96" i="9"/>
  <c r="AT96" i="9"/>
  <c r="AS96" i="9"/>
  <c r="AR96" i="9"/>
  <c r="AQ96" i="9"/>
  <c r="AP96" i="9"/>
  <c r="AO96" i="9"/>
  <c r="AN96" i="9"/>
  <c r="AM96" i="9"/>
  <c r="AL96" i="9"/>
  <c r="AK96" i="9"/>
  <c r="AJ96" i="9"/>
  <c r="AI96" i="9"/>
  <c r="AH96" i="9"/>
  <c r="AG96" i="9"/>
  <c r="BK95" i="9"/>
  <c r="BJ95" i="9"/>
  <c r="BI95" i="9"/>
  <c r="BH95" i="9"/>
  <c r="BG95" i="9"/>
  <c r="BF95" i="9"/>
  <c r="BE95" i="9"/>
  <c r="BD95" i="9"/>
  <c r="BC95" i="9"/>
  <c r="BB95" i="9"/>
  <c r="BA95" i="9"/>
  <c r="AZ95" i="9"/>
  <c r="AY95" i="9"/>
  <c r="AX95" i="9"/>
  <c r="AW95" i="9"/>
  <c r="AV95" i="9"/>
  <c r="AU95" i="9"/>
  <c r="AT95" i="9"/>
  <c r="AS95" i="9"/>
  <c r="AR95" i="9"/>
  <c r="AQ95" i="9"/>
  <c r="AP95" i="9"/>
  <c r="AO95" i="9"/>
  <c r="AN95" i="9"/>
  <c r="AM95" i="9"/>
  <c r="AL95" i="9"/>
  <c r="AK95" i="9"/>
  <c r="AJ95" i="9"/>
  <c r="AI95" i="9"/>
  <c r="AH95" i="9"/>
  <c r="AG95" i="9"/>
  <c r="BK94" i="9"/>
  <c r="BJ94" i="9"/>
  <c r="BI94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I94" i="9"/>
  <c r="AH94" i="9"/>
  <c r="AG94" i="9"/>
  <c r="BK23" i="7"/>
  <c r="BK25" i="7" s="1"/>
  <c r="BJ23" i="7"/>
  <c r="BJ25" i="7" s="1"/>
  <c r="BI23" i="7"/>
  <c r="BI25" i="7" s="1"/>
  <c r="BH23" i="7"/>
  <c r="BH25" i="7" s="1"/>
  <c r="BG23" i="7"/>
  <c r="BG25" i="7" s="1"/>
  <c r="BF23" i="7"/>
  <c r="BF25" i="7" s="1"/>
  <c r="BE23" i="7"/>
  <c r="BE25" i="7" s="1"/>
  <c r="BD23" i="7"/>
  <c r="BD25" i="7" s="1"/>
  <c r="BC23" i="7"/>
  <c r="BC25" i="7" s="1"/>
  <c r="BB23" i="7"/>
  <c r="BB25" i="7" s="1"/>
  <c r="BA23" i="7"/>
  <c r="BA25" i="7" s="1"/>
  <c r="AZ23" i="7"/>
  <c r="AZ25" i="7" s="1"/>
  <c r="AY23" i="7"/>
  <c r="AY25" i="7" s="1"/>
  <c r="AX23" i="7"/>
  <c r="AX25" i="7" s="1"/>
  <c r="AW23" i="7"/>
  <c r="AW25" i="7" s="1"/>
  <c r="AV23" i="7"/>
  <c r="AV25" i="7" s="1"/>
  <c r="AU23" i="7"/>
  <c r="AU25" i="7" s="1"/>
  <c r="AT23" i="7"/>
  <c r="AT25" i="7" s="1"/>
  <c r="AS23" i="7"/>
  <c r="AS25" i="7" s="1"/>
  <c r="AR23" i="7"/>
  <c r="AR25" i="7" s="1"/>
  <c r="AQ23" i="7"/>
  <c r="AQ25" i="7" s="1"/>
  <c r="AP23" i="7"/>
  <c r="AP25" i="7" s="1"/>
  <c r="AO23" i="7"/>
  <c r="AO25" i="7" s="1"/>
  <c r="AN23" i="7"/>
  <c r="AN25" i="7" s="1"/>
  <c r="AM23" i="7"/>
  <c r="AM25" i="7" s="1"/>
  <c r="AL23" i="7"/>
  <c r="AL25" i="7" s="1"/>
  <c r="AI23" i="7"/>
  <c r="AI25" i="7" s="1"/>
  <c r="AH23" i="7"/>
  <c r="AH25" i="7" s="1"/>
  <c r="AG23" i="7"/>
  <c r="AG25" i="7" s="1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I21" i="7"/>
  <c r="AH21" i="7"/>
  <c r="AG21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I15" i="7"/>
  <c r="AH15" i="7"/>
  <c r="AG15" i="7"/>
  <c r="BE15" i="1"/>
  <c r="BE13" i="1"/>
  <c r="K15" i="1"/>
  <c r="K13" i="1"/>
  <c r="BU37" i="14" l="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B99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B98" i="11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99" i="10"/>
  <c r="AE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B98" i="10"/>
  <c r="AE97" i="10"/>
  <c r="AD97" i="10"/>
  <c r="AC97" i="10"/>
  <c r="AB97" i="10"/>
  <c r="AA97" i="10"/>
  <c r="Z97" i="10"/>
  <c r="Y97" i="10"/>
  <c r="X97" i="10"/>
  <c r="W97" i="10"/>
  <c r="V97" i="10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B97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B96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B95" i="10"/>
  <c r="AE96" i="9"/>
  <c r="AD96" i="9"/>
  <c r="AC96" i="9"/>
  <c r="AB96" i="9"/>
  <c r="AA96" i="9"/>
  <c r="Z96" i="9"/>
  <c r="Y96" i="9"/>
  <c r="X96" i="9"/>
  <c r="W96" i="9"/>
  <c r="V96" i="9"/>
  <c r="U96" i="9"/>
  <c r="T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C96" i="9"/>
  <c r="B96" i="9"/>
  <c r="AE95" i="9"/>
  <c r="AD95" i="9"/>
  <c r="AC95" i="9"/>
  <c r="AB95" i="9"/>
  <c r="AA95" i="9"/>
  <c r="Z95" i="9"/>
  <c r="Y95" i="9"/>
  <c r="X95" i="9"/>
  <c r="W95" i="9"/>
  <c r="V95" i="9"/>
  <c r="U95" i="9"/>
  <c r="T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C95" i="9"/>
  <c r="B95" i="9"/>
  <c r="BM98" i="11" l="1"/>
  <c r="BM99" i="11"/>
  <c r="BL98" i="11"/>
  <c r="BL99" i="11"/>
  <c r="BM96" i="9"/>
  <c r="BM95" i="9"/>
  <c r="BL95" i="9"/>
  <c r="BL96" i="9"/>
  <c r="BM98" i="10"/>
  <c r="BL97" i="10"/>
  <c r="BM97" i="10"/>
  <c r="BM96" i="10"/>
  <c r="BM95" i="10"/>
  <c r="BM99" i="10"/>
  <c r="BL96" i="10"/>
  <c r="BL95" i="10"/>
  <c r="BL99" i="10"/>
  <c r="BL98" i="10"/>
  <c r="BC16" i="14"/>
  <c r="BC15" i="14"/>
  <c r="BC14" i="14"/>
  <c r="BC12" i="14"/>
  <c r="BC11" i="14"/>
  <c r="BC10" i="14"/>
  <c r="BC9" i="14"/>
  <c r="AG4" i="16" l="1"/>
  <c r="AG5" i="16"/>
  <c r="AG6" i="16"/>
  <c r="AG7" i="16"/>
  <c r="AG8" i="16"/>
  <c r="AG9" i="16"/>
  <c r="AG10" i="16"/>
  <c r="AG12" i="16"/>
  <c r="AG13" i="16"/>
  <c r="AG14" i="16"/>
  <c r="AC15" i="16"/>
  <c r="AD15" i="16"/>
  <c r="AE15" i="16"/>
  <c r="AF15" i="16"/>
  <c r="AG16" i="16"/>
  <c r="AG17" i="16"/>
  <c r="AG18" i="16"/>
  <c r="AC19" i="16"/>
  <c r="AD19" i="16"/>
  <c r="AE19" i="16"/>
  <c r="AF19" i="16"/>
  <c r="CK36" i="14"/>
  <c r="CI36" i="14"/>
  <c r="CH36" i="14"/>
  <c r="CF36" i="14"/>
  <c r="CE36" i="14"/>
  <c r="BZ36" i="14"/>
  <c r="BZ37" i="14" s="1"/>
  <c r="BY36" i="14"/>
  <c r="BW36" i="14"/>
  <c r="BV36" i="14"/>
  <c r="BP36" i="14"/>
  <c r="BN36" i="14"/>
  <c r="BM36" i="14"/>
  <c r="BK36" i="14"/>
  <c r="BJ36" i="14"/>
  <c r="BH36" i="14"/>
  <c r="BG36" i="14"/>
  <c r="BE36" i="14"/>
  <c r="BD36" i="14"/>
  <c r="BB36" i="14"/>
  <c r="BA36" i="14"/>
  <c r="AY36" i="14"/>
  <c r="AX36" i="14"/>
  <c r="AV36" i="14"/>
  <c r="AU36" i="14"/>
  <c r="AS36" i="14"/>
  <c r="AR36" i="14"/>
  <c r="AM36" i="14"/>
  <c r="AL36" i="14"/>
  <c r="AJ36" i="14"/>
  <c r="AI36" i="14"/>
  <c r="AG36" i="14"/>
  <c r="AF36" i="14"/>
  <c r="AA36" i="14"/>
  <c r="Z36" i="14"/>
  <c r="W36" i="14"/>
  <c r="U36" i="14"/>
  <c r="T36" i="14"/>
  <c r="R36" i="14"/>
  <c r="Q36" i="14"/>
  <c r="L36" i="14"/>
  <c r="K36" i="14"/>
  <c r="I36" i="14"/>
  <c r="H36" i="14"/>
  <c r="E36" i="14"/>
  <c r="C36" i="14"/>
  <c r="B36" i="14"/>
  <c r="CM35" i="14"/>
  <c r="CG35" i="14"/>
  <c r="CD35" i="14"/>
  <c r="CA35" i="14"/>
  <c r="BR35" i="14"/>
  <c r="BQ36" i="14"/>
  <c r="BO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S35" i="14"/>
  <c r="P35" i="14"/>
  <c r="N36" i="14"/>
  <c r="M35" i="14"/>
  <c r="J35" i="14"/>
  <c r="G35" i="14"/>
  <c r="D35" i="14"/>
  <c r="CM34" i="14"/>
  <c r="CG34" i="14"/>
  <c r="CD34" i="14"/>
  <c r="CA34" i="14"/>
  <c r="BR34" i="14"/>
  <c r="BO34" i="14"/>
  <c r="BI34" i="14"/>
  <c r="BF34" i="14"/>
  <c r="BC34" i="14"/>
  <c r="AZ34" i="14"/>
  <c r="AW34" i="14"/>
  <c r="AT34" i="14"/>
  <c r="AQ34" i="14"/>
  <c r="AN34" i="14"/>
  <c r="AK34" i="14"/>
  <c r="AH34" i="14"/>
  <c r="AE34" i="14"/>
  <c r="AB34" i="14"/>
  <c r="Y34" i="14"/>
  <c r="V34" i="14"/>
  <c r="S34" i="14"/>
  <c r="P34" i="14"/>
  <c r="M34" i="14"/>
  <c r="F36" i="14"/>
  <c r="D34" i="14"/>
  <c r="CM32" i="14"/>
  <c r="CG32" i="14"/>
  <c r="CD32" i="14"/>
  <c r="CA32" i="14"/>
  <c r="BX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B32" i="14"/>
  <c r="Y32" i="14"/>
  <c r="V32" i="14"/>
  <c r="S32" i="14"/>
  <c r="P32" i="14"/>
  <c r="M32" i="14"/>
  <c r="J32" i="14"/>
  <c r="G32" i="14"/>
  <c r="D32" i="14"/>
  <c r="X36" i="14"/>
  <c r="CM31" i="14"/>
  <c r="CG31" i="14"/>
  <c r="CD31" i="14"/>
  <c r="CA31" i="14"/>
  <c r="BX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AP36" i="14"/>
  <c r="AO36" i="14"/>
  <c r="CM30" i="14"/>
  <c r="CG30" i="14"/>
  <c r="CD30" i="14"/>
  <c r="CA30" i="14"/>
  <c r="BR30" i="14"/>
  <c r="BO30" i="14"/>
  <c r="BI30" i="14"/>
  <c r="BF30" i="14"/>
  <c r="BC30" i="14"/>
  <c r="AZ30" i="14"/>
  <c r="AW30" i="14"/>
  <c r="AT30" i="14"/>
  <c r="AQ30" i="14"/>
  <c r="AN30" i="14"/>
  <c r="AK30" i="14"/>
  <c r="AH30" i="14"/>
  <c r="AE30" i="14"/>
  <c r="AB30" i="14"/>
  <c r="Y30" i="14"/>
  <c r="V30" i="14"/>
  <c r="S30" i="14"/>
  <c r="P30" i="14"/>
  <c r="M30" i="14"/>
  <c r="G30" i="14"/>
  <c r="D30" i="14"/>
  <c r="CM28" i="14"/>
  <c r="CG28" i="14"/>
  <c r="CD28" i="14"/>
  <c r="CA28" i="14"/>
  <c r="BR28" i="14"/>
  <c r="BO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M27" i="14"/>
  <c r="CG27" i="14"/>
  <c r="CD27" i="14"/>
  <c r="CA27" i="14"/>
  <c r="BX27" i="14"/>
  <c r="BR27" i="14"/>
  <c r="BO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M26" i="14"/>
  <c r="CG26" i="14"/>
  <c r="CD26" i="14"/>
  <c r="CA26" i="14"/>
  <c r="BX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M25" i="14"/>
  <c r="CG25" i="14"/>
  <c r="CD25" i="14"/>
  <c r="CA25" i="14"/>
  <c r="BX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M24" i="14"/>
  <c r="CG24" i="14"/>
  <c r="CD24" i="14"/>
  <c r="CA24" i="14"/>
  <c r="BX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L36" i="14"/>
  <c r="CG23" i="14"/>
  <c r="CD23" i="14"/>
  <c r="CA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M22" i="14"/>
  <c r="CG22" i="14"/>
  <c r="CD22" i="14"/>
  <c r="CA22" i="14"/>
  <c r="BR22" i="14"/>
  <c r="BO22" i="14"/>
  <c r="BI22" i="14"/>
  <c r="BF22" i="14"/>
  <c r="BC22" i="14"/>
  <c r="AZ22" i="14"/>
  <c r="AW22" i="14"/>
  <c r="AT22" i="14"/>
  <c r="AQ22" i="14"/>
  <c r="AN22" i="14"/>
  <c r="AK22" i="14"/>
  <c r="AH22" i="14"/>
  <c r="AE22" i="14"/>
  <c r="AD36" i="14"/>
  <c r="AC36" i="14"/>
  <c r="AB22" i="14"/>
  <c r="Y22" i="14"/>
  <c r="V22" i="14"/>
  <c r="S22" i="14"/>
  <c r="P22" i="14"/>
  <c r="M22" i="14"/>
  <c r="G22" i="14"/>
  <c r="D22" i="14"/>
  <c r="CL20" i="14"/>
  <c r="CI20" i="14"/>
  <c r="CH20" i="14"/>
  <c r="CF20" i="14"/>
  <c r="CE20" i="14"/>
  <c r="BY20" i="14"/>
  <c r="BW20" i="14"/>
  <c r="BV20" i="14"/>
  <c r="BN20" i="14"/>
  <c r="BM20" i="14"/>
  <c r="BK20" i="14"/>
  <c r="BJ20" i="14"/>
  <c r="BH20" i="14"/>
  <c r="BG20" i="14"/>
  <c r="BE20" i="14"/>
  <c r="BD20" i="14"/>
  <c r="BB20" i="14"/>
  <c r="BA20" i="14"/>
  <c r="AY20" i="14"/>
  <c r="AX20" i="14"/>
  <c r="AV20" i="14"/>
  <c r="AU20" i="14"/>
  <c r="AS20" i="14"/>
  <c r="AR20" i="14"/>
  <c r="AM20" i="14"/>
  <c r="AL20" i="14"/>
  <c r="AG20" i="14"/>
  <c r="AF20" i="14"/>
  <c r="AA20" i="14"/>
  <c r="Z20" i="14"/>
  <c r="X20" i="14"/>
  <c r="W20" i="14"/>
  <c r="U20" i="14"/>
  <c r="T20" i="14"/>
  <c r="L20" i="14"/>
  <c r="K20" i="14"/>
  <c r="I20" i="14"/>
  <c r="H20" i="14"/>
  <c r="E20" i="14"/>
  <c r="C20" i="14"/>
  <c r="B20" i="14"/>
  <c r="CM19" i="14"/>
  <c r="CG19" i="14"/>
  <c r="CD19" i="14"/>
  <c r="CA19" i="14"/>
  <c r="BR19" i="14"/>
  <c r="BP20" i="14"/>
  <c r="BO19" i="14"/>
  <c r="BL19" i="14"/>
  <c r="BI19" i="14"/>
  <c r="BF19" i="14"/>
  <c r="BC19" i="14"/>
  <c r="AZ19" i="14"/>
  <c r="AW19" i="14"/>
  <c r="AT19" i="14"/>
  <c r="AQ19" i="14"/>
  <c r="AN19" i="14"/>
  <c r="AJ20" i="14"/>
  <c r="AI20" i="14"/>
  <c r="AH19" i="14"/>
  <c r="AE19" i="14"/>
  <c r="AB19" i="14"/>
  <c r="Y19" i="14"/>
  <c r="V19" i="14"/>
  <c r="S19" i="14"/>
  <c r="Q20" i="14"/>
  <c r="O20" i="14"/>
  <c r="N20" i="14"/>
  <c r="M19" i="14"/>
  <c r="G19" i="14"/>
  <c r="D19" i="14"/>
  <c r="CM18" i="14"/>
  <c r="CG18" i="14"/>
  <c r="CD18" i="14"/>
  <c r="CB20" i="14"/>
  <c r="CB37" i="14" s="1"/>
  <c r="CA18" i="14"/>
  <c r="BR18" i="14"/>
  <c r="BO18" i="14"/>
  <c r="BI18" i="14"/>
  <c r="BF18" i="14"/>
  <c r="BC18" i="14"/>
  <c r="AZ18" i="14"/>
  <c r="AW18" i="14"/>
  <c r="AT18" i="14"/>
  <c r="AN18" i="14"/>
  <c r="AK18" i="14"/>
  <c r="AH18" i="14"/>
  <c r="AE18" i="14"/>
  <c r="AB18" i="14"/>
  <c r="Y18" i="14"/>
  <c r="V18" i="14"/>
  <c r="S18" i="14"/>
  <c r="P18" i="14"/>
  <c r="M18" i="14"/>
  <c r="F20" i="14"/>
  <c r="D18" i="14"/>
  <c r="CM17" i="14"/>
  <c r="CG17" i="14"/>
  <c r="CD17" i="14"/>
  <c r="CA17" i="14"/>
  <c r="BX17" i="14"/>
  <c r="BR17" i="14"/>
  <c r="BO17" i="14"/>
  <c r="BL17" i="14"/>
  <c r="BI17" i="14"/>
  <c r="BF17" i="14"/>
  <c r="BC17" i="14"/>
  <c r="AZ17" i="14"/>
  <c r="AW17" i="14"/>
  <c r="AT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M16" i="14"/>
  <c r="CG16" i="14"/>
  <c r="CD16" i="14"/>
  <c r="CA16" i="14"/>
  <c r="BX16" i="14"/>
  <c r="BR16" i="14"/>
  <c r="BO16" i="14"/>
  <c r="BI16" i="14"/>
  <c r="BF16" i="14"/>
  <c r="AZ16" i="14"/>
  <c r="AW16" i="14"/>
  <c r="AT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AP20" i="14"/>
  <c r="AO20" i="14"/>
  <c r="CM15" i="14"/>
  <c r="CG15" i="14"/>
  <c r="CD15" i="14"/>
  <c r="CA15" i="14"/>
  <c r="BX15" i="14"/>
  <c r="BR15" i="14"/>
  <c r="BO15" i="14"/>
  <c r="BI15" i="14"/>
  <c r="BF15" i="14"/>
  <c r="AZ15" i="14"/>
  <c r="AW15" i="14"/>
  <c r="AT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M14" i="14"/>
  <c r="CG14" i="14"/>
  <c r="CD14" i="14"/>
  <c r="CA14" i="14"/>
  <c r="BR14" i="14"/>
  <c r="BO14" i="14"/>
  <c r="BI14" i="14"/>
  <c r="BF14" i="14"/>
  <c r="AZ14" i="14"/>
  <c r="AW14" i="14"/>
  <c r="AT14" i="14"/>
  <c r="AN14" i="14"/>
  <c r="AK14" i="14"/>
  <c r="AH14" i="14"/>
  <c r="AE14" i="14"/>
  <c r="AB14" i="14"/>
  <c r="Y14" i="14"/>
  <c r="V14" i="14"/>
  <c r="S14" i="14"/>
  <c r="P14" i="14"/>
  <c r="M14" i="14"/>
  <c r="G14" i="14"/>
  <c r="D14" i="14"/>
  <c r="CM12" i="14"/>
  <c r="CG12" i="14"/>
  <c r="CD12" i="14"/>
  <c r="CA12" i="14"/>
  <c r="BX12" i="14"/>
  <c r="BR12" i="14"/>
  <c r="BO12" i="14"/>
  <c r="BL12" i="14"/>
  <c r="BI12" i="14"/>
  <c r="BF12" i="14"/>
  <c r="AZ12" i="14"/>
  <c r="AW12" i="14"/>
  <c r="AT12" i="14"/>
  <c r="AN12" i="14"/>
  <c r="AK12" i="14"/>
  <c r="AH12" i="14"/>
  <c r="AE12" i="14"/>
  <c r="AB12" i="14"/>
  <c r="Y12" i="14"/>
  <c r="V12" i="14"/>
  <c r="S12" i="14"/>
  <c r="P12" i="14"/>
  <c r="M12" i="14"/>
  <c r="J12" i="14"/>
  <c r="D12" i="14"/>
  <c r="CM11" i="14"/>
  <c r="CG11" i="14"/>
  <c r="CD11" i="14"/>
  <c r="CA11" i="14"/>
  <c r="BX11" i="14"/>
  <c r="BR11" i="14"/>
  <c r="BO11" i="14"/>
  <c r="BI11" i="14"/>
  <c r="BF11" i="14"/>
  <c r="AZ11" i="14"/>
  <c r="AW11" i="14"/>
  <c r="AT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M10" i="14"/>
  <c r="CG10" i="14"/>
  <c r="CD10" i="14"/>
  <c r="CA10" i="14"/>
  <c r="BR10" i="14"/>
  <c r="BO10" i="14"/>
  <c r="BI10" i="14"/>
  <c r="BF10" i="14"/>
  <c r="AZ10" i="14"/>
  <c r="AW10" i="14"/>
  <c r="AT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M9" i="14"/>
  <c r="CJ9" i="14"/>
  <c r="CG9" i="14"/>
  <c r="CD9" i="14"/>
  <c r="CA9" i="14"/>
  <c r="BX9" i="14"/>
  <c r="BR9" i="14"/>
  <c r="BO9" i="14"/>
  <c r="BL9" i="14"/>
  <c r="BI9" i="14"/>
  <c r="BF9" i="14"/>
  <c r="AZ9" i="14"/>
  <c r="AW9" i="14"/>
  <c r="AT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M8" i="14"/>
  <c r="CJ8" i="14"/>
  <c r="CG8" i="14"/>
  <c r="CD8" i="14"/>
  <c r="CA8" i="14"/>
  <c r="BX8" i="14"/>
  <c r="BR8" i="14"/>
  <c r="BO8" i="14"/>
  <c r="BL8" i="14"/>
  <c r="BI8" i="14"/>
  <c r="BF8" i="14"/>
  <c r="BC8" i="14"/>
  <c r="AZ8" i="14"/>
  <c r="AW8" i="14"/>
  <c r="AT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M7" i="14"/>
  <c r="CG7" i="14"/>
  <c r="CD7" i="14"/>
  <c r="CA7" i="14"/>
  <c r="BR7" i="14"/>
  <c r="BO7" i="14"/>
  <c r="BI7" i="14"/>
  <c r="BF7" i="14"/>
  <c r="AZ7" i="14"/>
  <c r="AW7" i="14"/>
  <c r="AT7" i="14"/>
  <c r="AN7" i="14"/>
  <c r="AK7" i="14"/>
  <c r="AH7" i="14"/>
  <c r="AE7" i="14"/>
  <c r="AB7" i="14"/>
  <c r="Y7" i="14"/>
  <c r="V7" i="14"/>
  <c r="S7" i="14"/>
  <c r="P7" i="14"/>
  <c r="M7" i="14"/>
  <c r="G7" i="14"/>
  <c r="D7" i="14"/>
  <c r="CM6" i="14"/>
  <c r="CG6" i="14"/>
  <c r="CD6" i="14"/>
  <c r="CA6" i="14"/>
  <c r="BR6" i="14"/>
  <c r="BO6" i="14"/>
  <c r="BI6" i="14"/>
  <c r="BF6" i="14"/>
  <c r="AZ6" i="14"/>
  <c r="AW6" i="14"/>
  <c r="AT6" i="14"/>
  <c r="AN6" i="14"/>
  <c r="AK6" i="14"/>
  <c r="AH6" i="14"/>
  <c r="AD20" i="14"/>
  <c r="AC20" i="14"/>
  <c r="AB6" i="14"/>
  <c r="Y6" i="14"/>
  <c r="V6" i="14"/>
  <c r="S6" i="14"/>
  <c r="P6" i="14"/>
  <c r="M6" i="14"/>
  <c r="G6" i="14"/>
  <c r="D6" i="14"/>
  <c r="BY37" i="14" l="1"/>
  <c r="BX36" i="14"/>
  <c r="BL36" i="14"/>
  <c r="BL20" i="14"/>
  <c r="I37" i="14"/>
  <c r="V36" i="14"/>
  <c r="AI37" i="14"/>
  <c r="AY37" i="14"/>
  <c r="BC20" i="14"/>
  <c r="J36" i="14"/>
  <c r="AT36" i="14"/>
  <c r="BF20" i="14"/>
  <c r="B37" i="14"/>
  <c r="AR37" i="14"/>
  <c r="BD37" i="14"/>
  <c r="V20" i="14"/>
  <c r="BX20" i="14"/>
  <c r="BF36" i="14"/>
  <c r="AT20" i="14"/>
  <c r="J20" i="14"/>
  <c r="BG37" i="14"/>
  <c r="AC37" i="14"/>
  <c r="C37" i="14"/>
  <c r="AS37" i="14"/>
  <c r="BE37" i="14"/>
  <c r="BV37" i="14"/>
  <c r="AF37" i="14"/>
  <c r="BW37" i="14"/>
  <c r="H37" i="14"/>
  <c r="T37" i="14"/>
  <c r="U37" i="14"/>
  <c r="BJ37" i="14"/>
  <c r="BK37" i="14"/>
  <c r="P36" i="14"/>
  <c r="D36" i="14"/>
  <c r="D20" i="14"/>
  <c r="E37" i="14"/>
  <c r="K37" i="14"/>
  <c r="L37" i="14"/>
  <c r="M20" i="14"/>
  <c r="M36" i="14"/>
  <c r="S36" i="14"/>
  <c r="Q37" i="14"/>
  <c r="S20" i="14"/>
  <c r="Y20" i="14"/>
  <c r="X37" i="14"/>
  <c r="W37" i="14"/>
  <c r="AH36" i="14"/>
  <c r="AE36" i="14"/>
  <c r="AG37" i="14"/>
  <c r="AH20" i="14"/>
  <c r="AN20" i="14"/>
  <c r="AL37" i="14"/>
  <c r="AM37" i="14"/>
  <c r="AK36" i="14"/>
  <c r="AN36" i="14"/>
  <c r="BC36" i="14"/>
  <c r="AZ36" i="14"/>
  <c r="AW36" i="14"/>
  <c r="AU37" i="14"/>
  <c r="AV37" i="14"/>
  <c r="AW20" i="14"/>
  <c r="AX37" i="14"/>
  <c r="AZ20" i="14"/>
  <c r="BA37" i="14"/>
  <c r="BB37" i="14"/>
  <c r="BI20" i="14"/>
  <c r="BH37" i="14"/>
  <c r="BO20" i="14"/>
  <c r="BM37" i="14"/>
  <c r="BN37" i="14"/>
  <c r="BI36" i="14"/>
  <c r="BO36" i="14"/>
  <c r="CA36" i="14"/>
  <c r="BR36" i="14"/>
  <c r="BR20" i="14"/>
  <c r="CA20" i="14"/>
  <c r="CD20" i="14"/>
  <c r="CG20" i="14"/>
  <c r="CE37" i="14"/>
  <c r="CG36" i="14"/>
  <c r="CF37" i="14"/>
  <c r="CI37" i="14"/>
  <c r="CJ20" i="14"/>
  <c r="CJ36" i="14"/>
  <c r="CH37" i="14"/>
  <c r="CM36" i="14"/>
  <c r="CL37" i="14"/>
  <c r="CM20" i="14"/>
  <c r="AA37" i="14"/>
  <c r="AB36" i="14"/>
  <c r="AB20" i="14"/>
  <c r="Z37" i="14"/>
  <c r="AG19" i="16"/>
  <c r="AG11" i="16"/>
  <c r="AG15" i="16"/>
  <c r="AP37" i="14"/>
  <c r="BP37" i="14"/>
  <c r="AD37" i="14"/>
  <c r="N37" i="14"/>
  <c r="CD36" i="14"/>
  <c r="AO37" i="14"/>
  <c r="F37" i="14"/>
  <c r="AJ37" i="14"/>
  <c r="AK19" i="14"/>
  <c r="AK20" i="14" s="1"/>
  <c r="BQ20" i="14"/>
  <c r="BQ37" i="14" s="1"/>
  <c r="AE6" i="14"/>
  <c r="AE20" i="14" s="1"/>
  <c r="CC20" i="14"/>
  <c r="CC37" i="14" s="1"/>
  <c r="CK20" i="14"/>
  <c r="CK37" i="14" s="1"/>
  <c r="Y36" i="14"/>
  <c r="R20" i="14"/>
  <c r="R37" i="14" s="1"/>
  <c r="O36" i="14"/>
  <c r="O37" i="14" s="1"/>
  <c r="G18" i="14"/>
  <c r="G20" i="14" s="1"/>
  <c r="AQ20" i="14"/>
  <c r="P19" i="14"/>
  <c r="P20" i="14" s="1"/>
  <c r="AQ36" i="14"/>
  <c r="G34" i="14"/>
  <c r="G36" i="14" s="1"/>
  <c r="BX37" i="14" l="1"/>
  <c r="BF37" i="14"/>
  <c r="BL37" i="14"/>
  <c r="J37" i="14"/>
  <c r="V37" i="14"/>
  <c r="AT37" i="14"/>
  <c r="CD37" i="14"/>
  <c r="M37" i="14"/>
  <c r="S37" i="14"/>
  <c r="BC37" i="14"/>
  <c r="AK37" i="14"/>
  <c r="AZ37" i="14"/>
  <c r="D37" i="14"/>
  <c r="BR37" i="14"/>
  <c r="AE37" i="14"/>
  <c r="Y37" i="14"/>
  <c r="AW37" i="14"/>
  <c r="CG37" i="14"/>
  <c r="P37" i="14"/>
  <c r="G37" i="14"/>
  <c r="AH37" i="14"/>
  <c r="AN37" i="14"/>
  <c r="AQ37" i="14"/>
  <c r="BI37" i="14"/>
  <c r="BO37" i="14"/>
  <c r="CA37" i="14"/>
  <c r="CJ37" i="14"/>
  <c r="CM37" i="14"/>
  <c r="AB37" i="14"/>
  <c r="AE23" i="7" l="1"/>
  <c r="AE25" i="7" s="1"/>
  <c r="AD23" i="7"/>
  <c r="AD25" i="7" s="1"/>
  <c r="AC23" i="7"/>
  <c r="AC25" i="7" s="1"/>
  <c r="AB23" i="7"/>
  <c r="AB25" i="7" s="1"/>
  <c r="AA23" i="7"/>
  <c r="AA25" i="7" s="1"/>
  <c r="Z23" i="7"/>
  <c r="Z25" i="7" s="1"/>
  <c r="Y23" i="7"/>
  <c r="Y25" i="7" s="1"/>
  <c r="X23" i="7"/>
  <c r="X25" i="7" s="1"/>
  <c r="W23" i="7"/>
  <c r="W25" i="7" s="1"/>
  <c r="V23" i="7"/>
  <c r="V25" i="7" s="1"/>
  <c r="U23" i="7"/>
  <c r="U25" i="7" s="1"/>
  <c r="T23" i="7"/>
  <c r="T25" i="7" s="1"/>
  <c r="S23" i="7"/>
  <c r="S25" i="7" s="1"/>
  <c r="R23" i="7"/>
  <c r="R25" i="7" s="1"/>
  <c r="Q23" i="7"/>
  <c r="Q25" i="7" s="1"/>
  <c r="P23" i="7"/>
  <c r="P25" i="7" s="1"/>
  <c r="O23" i="7"/>
  <c r="O25" i="7" s="1"/>
  <c r="N23" i="7"/>
  <c r="N25" i="7" s="1"/>
  <c r="M23" i="7"/>
  <c r="M25" i="7" s="1"/>
  <c r="L23" i="7"/>
  <c r="L25" i="7" s="1"/>
  <c r="K23" i="7"/>
  <c r="K25" i="7" s="1"/>
  <c r="J23" i="7"/>
  <c r="J25" i="7" s="1"/>
  <c r="I23" i="7"/>
  <c r="I25" i="7" s="1"/>
  <c r="H23" i="7"/>
  <c r="H25" i="7" s="1"/>
  <c r="G23" i="7"/>
  <c r="G25" i="7" s="1"/>
  <c r="F23" i="7"/>
  <c r="F25" i="7" s="1"/>
  <c r="E23" i="7"/>
  <c r="E25" i="7" s="1"/>
  <c r="D23" i="7"/>
  <c r="D25" i="7" s="1"/>
  <c r="C23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23" i="7"/>
  <c r="B21" i="7"/>
  <c r="B15" i="7"/>
  <c r="AG30" i="8"/>
  <c r="AG29" i="8"/>
  <c r="AG28" i="8"/>
  <c r="AG25" i="8"/>
  <c r="AG24" i="8"/>
  <c r="AG22" i="8"/>
  <c r="AG21" i="8"/>
  <c r="AG19" i="8"/>
  <c r="AG18" i="8"/>
  <c r="AG17" i="8"/>
  <c r="AG15" i="8"/>
  <c r="AG14" i="8"/>
  <c r="AG10" i="8"/>
  <c r="AG9" i="8"/>
  <c r="AG6" i="8"/>
  <c r="AG5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26" i="8"/>
  <c r="B23" i="8"/>
  <c r="B11" i="8"/>
  <c r="AE100" i="9"/>
  <c r="AD100" i="9"/>
  <c r="AC100" i="9"/>
  <c r="AB100" i="9"/>
  <c r="AA100" i="9"/>
  <c r="Z100" i="9"/>
  <c r="Y100" i="9"/>
  <c r="X100" i="9"/>
  <c r="W100" i="9"/>
  <c r="V100" i="9"/>
  <c r="U100" i="9"/>
  <c r="T100" i="9"/>
  <c r="R100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C100" i="9"/>
  <c r="AE97" i="9"/>
  <c r="AD97" i="9"/>
  <c r="AC97" i="9"/>
  <c r="AB97" i="9"/>
  <c r="AA97" i="9"/>
  <c r="Z97" i="9"/>
  <c r="Y97" i="9"/>
  <c r="X97" i="9"/>
  <c r="W97" i="9"/>
  <c r="V97" i="9"/>
  <c r="U97" i="9"/>
  <c r="T97" i="9"/>
  <c r="R97" i="9"/>
  <c r="Q97" i="9"/>
  <c r="P97" i="9"/>
  <c r="O97" i="9"/>
  <c r="N97" i="9"/>
  <c r="M97" i="9"/>
  <c r="L97" i="9"/>
  <c r="K97" i="9"/>
  <c r="J97" i="9"/>
  <c r="I97" i="9"/>
  <c r="H97" i="9"/>
  <c r="G97" i="9"/>
  <c r="F97" i="9"/>
  <c r="E97" i="9"/>
  <c r="D97" i="9"/>
  <c r="C97" i="9"/>
  <c r="AE94" i="9"/>
  <c r="AD94" i="9"/>
  <c r="AC94" i="9"/>
  <c r="AB94" i="9"/>
  <c r="AA94" i="9"/>
  <c r="Z94" i="9"/>
  <c r="Y94" i="9"/>
  <c r="X94" i="9"/>
  <c r="W94" i="9"/>
  <c r="V94" i="9"/>
  <c r="U94" i="9"/>
  <c r="T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B100" i="9"/>
  <c r="B97" i="9"/>
  <c r="B94" i="9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100" i="10"/>
  <c r="B94" i="10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B100" i="11"/>
  <c r="B94" i="11"/>
  <c r="BM94" i="11" l="1"/>
  <c r="BM97" i="9"/>
  <c r="BL94" i="11"/>
  <c r="BL97" i="9"/>
  <c r="BM100" i="11"/>
  <c r="BL100" i="11"/>
  <c r="BL100" i="9"/>
  <c r="BM100" i="9"/>
  <c r="BM94" i="9"/>
  <c r="BL94" i="9"/>
  <c r="BL100" i="10"/>
  <c r="BM94" i="10"/>
  <c r="BM100" i="10"/>
  <c r="BL94" i="10"/>
  <c r="H27" i="8"/>
  <c r="T27" i="8"/>
  <c r="D27" i="8"/>
  <c r="AF27" i="8"/>
  <c r="B25" i="7"/>
  <c r="C25" i="7"/>
  <c r="B27" i="8"/>
  <c r="AE27" i="8"/>
  <c r="O27" i="8"/>
  <c r="R27" i="8"/>
  <c r="F27" i="8"/>
  <c r="M27" i="8"/>
  <c r="C27" i="8"/>
  <c r="J27" i="8"/>
  <c r="Q27" i="8"/>
  <c r="V27" i="8"/>
  <c r="AC27" i="8"/>
  <c r="Y27" i="8"/>
  <c r="X27" i="8"/>
  <c r="U27" i="8"/>
  <c r="S27" i="8"/>
  <c r="G27" i="8"/>
  <c r="E27" i="8"/>
  <c r="AD27" i="8"/>
  <c r="AB27" i="8"/>
  <c r="AA27" i="8"/>
  <c r="Z27" i="8"/>
  <c r="W27" i="8"/>
  <c r="P27" i="8"/>
  <c r="N27" i="8"/>
  <c r="L27" i="8"/>
  <c r="K27" i="8"/>
  <c r="I27" i="8"/>
  <c r="AG16" i="8"/>
  <c r="AG26" i="8"/>
  <c r="AG23" i="8"/>
  <c r="AG27" i="8" l="1"/>
  <c r="AG15" i="18"/>
  <c r="AG14" i="18"/>
  <c r="AG13" i="18"/>
  <c r="AG12" i="18"/>
  <c r="AG11" i="18"/>
  <c r="AG10" i="18"/>
  <c r="AG7" i="18"/>
  <c r="AG6" i="18"/>
  <c r="AG5" i="18"/>
  <c r="AG4" i="18"/>
  <c r="AG14" i="17"/>
  <c r="AG13" i="17"/>
  <c r="AG12" i="17"/>
  <c r="AG11" i="17"/>
  <c r="AG10" i="17"/>
  <c r="AG9" i="17"/>
  <c r="AG8" i="17"/>
  <c r="AG7" i="17"/>
  <c r="AG6" i="17"/>
  <c r="AG5" i="17"/>
  <c r="AG4" i="17"/>
  <c r="AF15" i="17"/>
  <c r="AE15" i="17"/>
  <c r="AD15" i="17"/>
  <c r="AC15" i="17"/>
  <c r="AF32" i="15"/>
  <c r="AE32" i="15"/>
  <c r="AD32" i="15"/>
  <c r="AC32" i="15"/>
  <c r="AF28" i="15"/>
  <c r="AE28" i="15"/>
  <c r="AD28" i="15"/>
  <c r="AC28" i="15"/>
  <c r="AF19" i="15"/>
  <c r="AE19" i="15"/>
  <c r="AD19" i="15"/>
  <c r="AC19" i="15"/>
  <c r="AF12" i="15"/>
  <c r="AE12" i="15"/>
  <c r="AD12" i="15"/>
  <c r="AC12" i="15"/>
  <c r="AG10" i="13"/>
  <c r="AG8" i="13"/>
  <c r="AG7" i="13"/>
  <c r="AG6" i="13"/>
  <c r="AG5" i="13"/>
  <c r="AG4" i="13"/>
  <c r="AF9" i="13"/>
  <c r="AE9" i="13"/>
  <c r="AD9" i="13"/>
  <c r="AC9" i="13"/>
  <c r="AG32" i="15" l="1"/>
  <c r="AG19" i="15"/>
  <c r="AG28" i="15"/>
  <c r="AG12" i="15"/>
  <c r="AG15" i="17"/>
  <c r="BJ15" i="1" l="1"/>
  <c r="BH15" i="1"/>
  <c r="BD15" i="1"/>
  <c r="BB15" i="1"/>
  <c r="AZ15" i="1"/>
  <c r="AX15" i="1"/>
  <c r="AV15" i="1"/>
  <c r="AT15" i="1"/>
  <c r="AR15" i="1"/>
  <c r="AP15" i="1"/>
  <c r="AN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B15" i="1"/>
  <c r="BJ13" i="1"/>
  <c r="BH13" i="1"/>
  <c r="BD13" i="1"/>
  <c r="BB13" i="1"/>
  <c r="AZ13" i="1"/>
  <c r="AX13" i="1"/>
  <c r="AV13" i="1"/>
  <c r="AR13" i="1"/>
  <c r="AP13" i="1"/>
  <c r="AN13" i="1"/>
  <c r="AL13" i="1"/>
  <c r="AH13" i="1"/>
  <c r="AF13" i="1"/>
  <c r="AD13" i="1"/>
  <c r="AB13" i="1"/>
  <c r="Z13" i="1"/>
  <c r="X13" i="1"/>
  <c r="V13" i="1"/>
  <c r="T13" i="1"/>
  <c r="R13" i="1"/>
  <c r="P13" i="1"/>
  <c r="N13" i="1"/>
  <c r="L13" i="1"/>
  <c r="J13" i="1"/>
  <c r="B13" i="1"/>
  <c r="AM15" i="1" l="1"/>
  <c r="AL15" i="1"/>
  <c r="AJ15" i="7" l="1"/>
  <c r="BL15" i="7" s="1"/>
  <c r="AK15" i="7"/>
  <c r="BM15" i="7" s="1"/>
  <c r="AJ21" i="7"/>
  <c r="BL21" i="7" s="1"/>
  <c r="AJ23" i="7"/>
  <c r="BL23" i="7" s="1"/>
  <c r="AK21" i="7"/>
  <c r="BM21" i="7" s="1"/>
  <c r="AK23" i="7"/>
  <c r="BM23" i="7" s="1"/>
  <c r="AK25" i="7" l="1"/>
  <c r="BM25" i="7" s="1"/>
  <c r="AJ25" i="7"/>
  <c r="BL25" i="7" s="1"/>
  <c r="BM8" i="1"/>
  <c r="BL8" i="1"/>
  <c r="AK13" i="1"/>
  <c r="BM13" i="1" s="1"/>
  <c r="AK15" i="1"/>
  <c r="BM15" i="1" s="1"/>
  <c r="AJ13" i="1"/>
  <c r="BL13" i="1" s="1"/>
  <c r="AJ15" i="1"/>
  <c r="BL15" i="1" s="1"/>
  <c r="AG12" i="8"/>
  <c r="S11" i="8"/>
  <c r="AG11" i="8" s="1"/>
  <c r="AG11" i="13"/>
  <c r="AG9" i="13"/>
  <c r="AG17" i="18"/>
  <c r="AG16" i="18"/>
  <c r="DP15" i="6"/>
  <c r="DP12" i="6"/>
</calcChain>
</file>

<file path=xl/sharedStrings.xml><?xml version="1.0" encoding="utf-8"?>
<sst xmlns="http://schemas.openxmlformats.org/spreadsheetml/2006/main" count="4800" uniqueCount="324">
  <si>
    <t>Particulars</t>
  </si>
  <si>
    <t>Acko</t>
  </si>
  <si>
    <t>AICL</t>
  </si>
  <si>
    <t>Bajaj Allianz</t>
  </si>
  <si>
    <t>Edelweiss</t>
  </si>
  <si>
    <t>ECGC</t>
  </si>
  <si>
    <t>Future Generali</t>
  </si>
  <si>
    <t>HDFC Ergo</t>
  </si>
  <si>
    <t>ICICI Lombard</t>
  </si>
  <si>
    <t>Iffco Tokio</t>
  </si>
  <si>
    <t>Liberty</t>
  </si>
  <si>
    <t>Magma HDI</t>
  </si>
  <si>
    <t>National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</si>
  <si>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</si>
  <si>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</si>
  <si>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</si>
  <si>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</si>
  <si>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</si>
  <si>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</si>
  <si>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</si>
  <si>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</si>
  <si>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</si>
  <si>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</si>
  <si>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</si>
  <si>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</si>
  <si>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</si>
  <si>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</si>
  <si>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</si>
  <si>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</si>
  <si>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</si>
  <si>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</si>
  <si>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</si>
  <si>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</si>
  <si>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</si>
  <si>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</si>
  <si>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</si>
  <si>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</si>
  <si>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</si>
  <si>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</si>
  <si>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</si>
  <si>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</si>
  <si>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</si>
  <si>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</si>
  <si>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</si>
  <si>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</si>
  <si>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</si>
  <si>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</si>
  <si>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</si>
  <si>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</si>
  <si>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</si>
  <si>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</si>
  <si>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</si>
  <si>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</si>
  <si>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</si>
  <si>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</si>
  <si>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</si>
  <si>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</si>
  <si>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</si>
  <si>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</si>
  <si>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</si>
  <si>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</si>
  <si>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</si>
  <si>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</si>
  <si>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</si>
  <si>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</si>
  <si>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</si>
  <si>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</si>
  <si>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</si>
  <si>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</si>
  <si>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</si>
  <si>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</si>
  <si>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</si>
  <si>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</si>
  <si>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</si>
  <si>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</si>
  <si>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</si>
  <si>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</si>
  <si>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</si>
  <si>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</si>
  <si>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</si>
  <si>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</si>
  <si>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</si>
  <si>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</si>
  <si>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</si>
  <si>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</si>
  <si>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</si>
  <si>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</si>
  <si>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</si>
  <si>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</si>
  <si>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</si>
  <si>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</si>
  <si>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</si>
  <si>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</si>
  <si>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</si>
  <si>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</si>
  <si>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</si>
  <si>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</si>
  <si>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</si>
  <si>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</si>
  <si>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</si>
  <si>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</si>
  <si>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</si>
  <si>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</si>
  <si>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</si>
  <si>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</si>
  <si>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</si>
  <si>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</si>
  <si>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</si>
  <si>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</si>
  <si>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</si>
  <si>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</si>
  <si>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</si>
  <si>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</si>
  <si>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</si>
  <si>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</si>
  <si>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</si>
  <si>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</si>
  <si>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</si>
  <si>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</si>
  <si>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</si>
  <si>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</si>
  <si>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</si>
  <si>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</si>
  <si>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Gross Premium Growth Rate</t>
  </si>
  <si>
    <t>Gross Direct Premium to Net Worth Ratio</t>
  </si>
  <si>
    <t>Growth Rate of Net Worth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</si>
  <si>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</si>
  <si>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</si>
  <si>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</si>
  <si>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</si>
  <si>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</si>
  <si>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</si>
  <si>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</si>
  <si>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</si>
  <si>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</si>
  <si>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</si>
  <si>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</si>
  <si>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</si>
  <si>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</si>
  <si>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Total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</si>
  <si>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</si>
  <si>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</si>
  <si>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</si>
  <si>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</si>
  <si>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</si>
  <si>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</si>
  <si>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</si>
  <si>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</si>
  <si>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</si>
  <si>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</si>
  <si>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</si>
  <si>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</si>
  <si>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</si>
  <si>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</si>
  <si>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</si>
  <si>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</si>
  <si>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</si>
  <si>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</si>
  <si>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</si>
  <si>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</si>
  <si>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</si>
  <si>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</si>
  <si>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(f) Subsidiaries</t>
  </si>
  <si>
    <t>(g) Investment properties - Real Estate</t>
  </si>
  <si>
    <t>Other than Approved Investments</t>
  </si>
  <si>
    <t>TOTAL LONG TERM INVESTMENTS</t>
  </si>
  <si>
    <t>SHORT TERM INVESTMENTS</t>
  </si>
  <si>
    <t>TOTAL SHORT TERM INVESTMENTS</t>
  </si>
  <si>
    <t>(e) Other securities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</si>
  <si>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</si>
  <si>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</si>
  <si>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</si>
  <si>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</si>
  <si>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</si>
  <si>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</si>
  <si>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</si>
  <si>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</si>
  <si>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</si>
  <si>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</si>
  <si>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</si>
  <si>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</si>
  <si>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</si>
  <si>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</si>
  <si>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</si>
  <si>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</si>
  <si>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</si>
  <si>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</si>
  <si>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</si>
  <si>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AVIATION</t>
  </si>
  <si>
    <t>OTHER MISCELLANEOUS</t>
  </si>
  <si>
    <t>Net Commission</t>
  </si>
  <si>
    <t xml:space="preserve">NL-5 Claims </t>
  </si>
  <si>
    <t>Net Earned Premium</t>
  </si>
  <si>
    <t xml:space="preserve">NL-4 Premium </t>
  </si>
  <si>
    <t>SOURCES OF FUNDS</t>
  </si>
  <si>
    <t>Share Capital</t>
  </si>
  <si>
    <t>Reserves and Surplus</t>
  </si>
  <si>
    <t>Fair Value Change Account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</si>
  <si>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</si>
  <si>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</si>
  <si>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</si>
  <si>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</si>
  <si>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</si>
  <si>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</si>
  <si>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</si>
  <si>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</si>
  <si>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</si>
  <si>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</si>
  <si>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</si>
  <si>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</si>
  <si>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</si>
  <si>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</si>
  <si>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</si>
  <si>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</si>
  <si>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</si>
  <si>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</si>
  <si>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</si>
  <si>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</si>
  <si>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</si>
  <si>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</si>
  <si>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</si>
  <si>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</si>
  <si>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</si>
  <si>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</si>
  <si>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</si>
  <si>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</si>
  <si>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</si>
  <si>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</si>
  <si>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</si>
  <si>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</si>
  <si>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</si>
  <si>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</si>
  <si>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</si>
  <si>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 xml:space="preserve">NL-2 Profit and Loss Account </t>
  </si>
  <si>
    <t>Aditya Birla Health</t>
  </si>
  <si>
    <t>Cholamandalam MS</t>
  </si>
  <si>
    <t>Manipal Cigna Health</t>
  </si>
  <si>
    <t>Navi</t>
  </si>
  <si>
    <t>Raheja QBE</t>
  </si>
  <si>
    <t>The New India Assurance</t>
  </si>
  <si>
    <t>The Oriental</t>
  </si>
  <si>
    <t>Reliance</t>
  </si>
  <si>
    <t>Kotak</t>
  </si>
  <si>
    <t>Care Health</t>
  </si>
  <si>
    <t>CROP</t>
  </si>
  <si>
    <t>Niva Bupa Health</t>
  </si>
  <si>
    <t>Digit</t>
  </si>
  <si>
    <t>NL-20 Analytical Ratios</t>
  </si>
  <si>
    <t xml:space="preserve">NL-36 Business Acquisition Through Different Channels </t>
  </si>
  <si>
    <t>NL-44 Motor TP Obligations (Quarterly Returns)</t>
  </si>
  <si>
    <t>Gross Direct Motor Third Party Insurance Business</t>
  </si>
  <si>
    <t>Premium in respect of liability only policies (L)</t>
  </si>
  <si>
    <t>Premium in respect of package policies (P)</t>
  </si>
  <si>
    <t>Total Gross Direct Motor Third Party Insurance</t>
  </si>
  <si>
    <t>Business Premium (L+P)</t>
  </si>
  <si>
    <t>Total Gross Direct Motor Own damage Insurance Business Premium</t>
  </si>
  <si>
    <t>Total Gross Direct Premium Income</t>
  </si>
  <si>
    <t>Outside India</t>
  </si>
  <si>
    <t>Total A</t>
  </si>
  <si>
    <t>Within India</t>
  </si>
  <si>
    <t>Indian Insurance Companies</t>
  </si>
  <si>
    <t>FRBs</t>
  </si>
  <si>
    <t>GIC Re</t>
  </si>
  <si>
    <t>Total B</t>
  </si>
  <si>
    <t>Grand Total A+B</t>
  </si>
  <si>
    <r>
      <t xml:space="preserve">NL-33 Reinsurance/Retrocession Risk Concentration
</t>
    </r>
    <r>
      <rPr>
        <sz val="12"/>
        <rFont val="Calibri"/>
        <family val="2"/>
        <scheme val="minor"/>
      </rPr>
      <t xml:space="preserve">Rs. In Lakhs </t>
    </r>
  </si>
  <si>
    <t>Claims paid to claims provisions</t>
  </si>
  <si>
    <t>Investment income ratio</t>
  </si>
  <si>
    <t>Reserve for Unexpired Risk</t>
  </si>
  <si>
    <t>Reserve for Premium Deficiency</t>
  </si>
  <si>
    <t>For Employee Benefits</t>
  </si>
  <si>
    <t>Debentures/ Bonds</t>
  </si>
  <si>
    <t>Banks</t>
  </si>
  <si>
    <t>Financial Institutions</t>
  </si>
  <si>
    <t xml:space="preserve">Gross Direct Premium </t>
  </si>
  <si>
    <t>Add : Premium on reinsurance accepted</t>
  </si>
  <si>
    <t>Less : Premium on reinsurance ceded</t>
  </si>
  <si>
    <t>Net Written Premium</t>
  </si>
  <si>
    <t>Add : Opening balance of UPR</t>
  </si>
  <si>
    <t>Less : Closing balance of UPR</t>
  </si>
  <si>
    <t>Claims Paid (Direct)</t>
  </si>
  <si>
    <t>Add : Re-insurance accepted to direct claims</t>
  </si>
  <si>
    <t>Less : Re-insurance ceded to claims paid</t>
  </si>
  <si>
    <t>Net Claims Paid</t>
  </si>
  <si>
    <t>Add : Claims Outstanding at the end of the year</t>
  </si>
  <si>
    <t>Less : Claims Outstanding at the beginning of the year</t>
  </si>
  <si>
    <t>Net Incurred Claims</t>
  </si>
  <si>
    <t xml:space="preserve">Commission &amp; Remuneration </t>
  </si>
  <si>
    <t>Rewards</t>
  </si>
  <si>
    <t>Distribution fees</t>
  </si>
  <si>
    <t>Gross Commission</t>
  </si>
  <si>
    <t>Add : Commission on Re-insurance accepted</t>
  </si>
  <si>
    <t>Less : Commission on Re-insurance ceded</t>
  </si>
  <si>
    <t>Investments in Infrastructure and Housing</t>
  </si>
  <si>
    <t>(c) Derivative Instruments</t>
  </si>
  <si>
    <t>(d) Debentures/ Bonds</t>
  </si>
  <si>
    <t>(g) Investment properties - Real Estate</t>
  </si>
  <si>
    <t>Fair Value Change- Shareholder's Funds</t>
  </si>
  <si>
    <t>Fair Value Change- Policyholder's Funds</t>
  </si>
  <si>
    <t>For taxation (less advance tax paid and taxes deducted at source)</t>
  </si>
  <si>
    <t>For Q4 2021-22</t>
  </si>
  <si>
    <t>Upto 12 months 2021-22</t>
  </si>
  <si>
    <t>NL-26 Solvency Margin KGII for the period ended 31 March 2022</t>
  </si>
  <si>
    <t>NL-18 Provisions Schedule as at 31 March 2022</t>
  </si>
  <si>
    <t>NL-17 Current Liabilities as at 31 March 2022</t>
  </si>
  <si>
    <t>NL-15 Cash and Bank Balance as at 31 March 2022</t>
  </si>
  <si>
    <t>NL-14 Fixed Assets. Net Block as at 31 March 2022</t>
  </si>
  <si>
    <t>NL-13 Loans as at 31 March 2022</t>
  </si>
  <si>
    <t>NL-12 Investments as at 31 March 2022</t>
  </si>
  <si>
    <t>NL-11 Borrowings Schedule as at 31 March 2022</t>
  </si>
  <si>
    <t>NL-10 Reserves and Surplus as at 31 March 2022</t>
  </si>
  <si>
    <t>NL-3 Balance Sheet as at 31 March 2022</t>
  </si>
  <si>
    <t>(a) For Long term policies</t>
  </si>
  <si>
    <t>(b) for Other Policies</t>
  </si>
  <si>
    <t xml:space="preserve"> </t>
  </si>
  <si>
    <t xml:space="preserve">1.76 times </t>
  </si>
  <si>
    <t xml:space="preserve">1.98 times </t>
  </si>
  <si>
    <t xml:space="preserve">(0.14) times </t>
  </si>
  <si>
    <t xml:space="preserve">0.30 times </t>
  </si>
  <si>
    <t>1.72 times</t>
  </si>
  <si>
    <t>5.54 times</t>
  </si>
  <si>
    <t>0.63 times</t>
  </si>
  <si>
    <t>(0.18) times</t>
  </si>
  <si>
    <t>0.30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</si>
</sst>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%"/>
    <numFmt numFmtId="165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43" fontId="10" fillId="0" borderId="0" applyFill="0" applyBorder="0" applyAlignment="0" applyProtection="0"/>
    <xf numFmtId="0" fontId="12" fillId="0" borderId="0"/>
    <xf numFmtId="43" fontId="5" fillId="0" borderId="0" applyFont="0" applyFill="0" applyBorder="0" applyAlignment="0" applyProtection="0"/>
  </cellStyleXfs>
  <cellXfs count="184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1" xfId="0" applyBorder="1" applyAlignment="1">
      <alignment wrapText="1"/>
    </xf>
    <xf numFmtId="1" fontId="4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7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7" fillId="0" borderId="0" xfId="0" applyNumberFormat="1" applyFont="1" applyBorder="1"/>
    <xf numFmtId="1" fontId="7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0" fillId="0" borderId="1" xfId="0" applyBorder="1"/>
    <xf numFmtId="1" fontId="2" fillId="0" borderId="1" xfId="0" applyNumberFormat="1" applyFont="1" applyBorder="1"/>
    <xf numFmtId="1" fontId="2" fillId="0" borderId="0" xfId="0" applyNumberFormat="1" applyFont="1"/>
    <xf numFmtId="9" fontId="0" fillId="0" borderId="1" xfId="0" applyNumberFormat="1" applyBorder="1"/>
    <xf numFmtId="1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4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1" fontId="0" fillId="0" borderId="4" xfId="0" applyNumberFormat="1" applyBorder="1"/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1" applyNumberFormat="1" applyFont="1"/>
    <xf numFmtId="1" fontId="0" fillId="0" borderId="1" xfId="1" applyNumberFormat="1" applyFont="1" applyBorder="1"/>
    <xf numFmtId="9" fontId="0" fillId="0" borderId="1" xfId="1" applyFont="1" applyBorder="1"/>
    <xf numFmtId="9" fontId="2" fillId="0" borderId="1" xfId="1" applyFont="1" applyBorder="1"/>
    <xf numFmtId="1" fontId="1" fillId="2" borderId="1" xfId="0" applyNumberFormat="1" applyFont="1" applyFill="1" applyBorder="1"/>
    <xf numFmtId="1" fontId="6" fillId="2" borderId="1" xfId="0" applyNumberFormat="1" applyFont="1" applyFill="1" applyBorder="1"/>
    <xf numFmtId="1" fontId="8" fillId="2" borderId="1" xfId="0" applyNumberFormat="1" applyFont="1" applyFill="1" applyBorder="1"/>
    <xf numFmtId="1" fontId="2" fillId="2" borderId="1" xfId="0" applyNumberFormat="1" applyFont="1" applyFill="1" applyBorder="1"/>
    <xf numFmtId="1" fontId="0" fillId="2" borderId="1" xfId="0" applyNumberFormat="1" applyFont="1" applyFill="1" applyBorder="1"/>
    <xf numFmtId="1" fontId="0" fillId="2" borderId="1" xfId="0" applyNumberFormat="1" applyFill="1" applyBorder="1"/>
    <xf numFmtId="1" fontId="6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1" fontId="0" fillId="3" borderId="1" xfId="0" applyNumberFormat="1" applyFill="1" applyBorder="1"/>
    <xf numFmtId="1" fontId="1" fillId="3" borderId="1" xfId="0" applyNumberFormat="1" applyFont="1" applyFill="1" applyBorder="1"/>
    <xf numFmtId="1" fontId="0" fillId="0" borderId="1" xfId="0" applyNumberFormat="1" applyBorder="1"/>
    <xf numFmtId="2" fontId="0" fillId="0" borderId="1" xfId="0" applyNumberFormat="1" applyBorder="1"/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Fill="1" applyBorder="1"/>
    <xf numFmtId="2" fontId="2" fillId="0" borderId="1" xfId="1" applyNumberFormat="1" applyFont="1" applyBorder="1"/>
    <xf numFmtId="1" fontId="1" fillId="0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9" fontId="0" fillId="0" borderId="1" xfId="0" applyNumberFormat="1" applyBorder="1" applyAlignment="1">
      <alignment horizontal="right"/>
    </xf>
    <xf numFmtId="1" fontId="0" fillId="0" borderId="1" xfId="0" applyNumberFormat="1" applyFont="1" applyFill="1" applyBorder="1"/>
    <xf numFmtId="16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1" fontId="1" fillId="0" borderId="1" xfId="0" applyNumberFormat="1" applyFont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1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1" fontId="2" fillId="0" borderId="1" xfId="1" applyNumberFormat="1" applyFont="1" applyBorder="1"/>
    <xf numFmtId="9" fontId="2" fillId="0" borderId="1" xfId="1" applyNumberFormat="1" applyFont="1" applyBorder="1"/>
    <xf numFmtId="9" fontId="0" fillId="0" borderId="1" xfId="1" applyNumberFormat="1" applyFont="1" applyBorder="1"/>
    <xf numFmtId="0" fontId="0" fillId="0" borderId="0" xfId="0" applyAlignment="1">
      <alignment horizontal="right"/>
    </xf>
    <xf numFmtId="1" fontId="8" fillId="0" borderId="1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/>
    </xf>
    <xf numFmtId="9" fontId="0" fillId="0" borderId="1" xfId="1" applyNumberFormat="1" applyFont="1" applyBorder="1" applyAlignment="1">
      <alignment horizontal="right"/>
    </xf>
    <xf numFmtId="1" fontId="11" fillId="0" borderId="1" xfId="0" applyNumberFormat="1" applyFont="1" applyBorder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vertical="center"/>
    </xf>
    <xf numFmtId="1" fontId="0" fillId="0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2" fontId="1" fillId="0" borderId="0" xfId="0" applyNumberFormat="1" applyFont="1"/>
    <xf numFmtId="1" fontId="0" fillId="3" borderId="0" xfId="0" applyNumberFormat="1" applyFill="1"/>
    <xf numFmtId="1" fontId="1" fillId="3" borderId="1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vertic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2" fontId="0" fillId="0" borderId="4" xfId="0" applyNumberFormat="1" applyBorder="1"/>
    <xf numFmtId="165" fontId="0" fillId="0" borderId="1" xfId="0" applyNumberFormat="1" applyBorder="1"/>
    <xf numFmtId="164" fontId="0" fillId="0" borderId="1" xfId="1" applyNumberFormat="1" applyFont="1" applyBorder="1"/>
    <xf numFmtId="1" fontId="0" fillId="0" borderId="0" xfId="0" applyNumberFormat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0" fillId="0" borderId="0" xfId="0" applyNumberFormat="1" applyFont="1" applyFill="1"/>
    <xf numFmtId="1" fontId="2" fillId="0" borderId="1" xfId="0" applyNumberFormat="1" applyFont="1" applyFill="1" applyBorder="1"/>
    <xf numFmtId="2" fontId="1" fillId="0" borderId="1" xfId="0" applyNumberFormat="1" applyFont="1" applyFill="1" applyBorder="1"/>
    <xf numFmtId="1" fontId="0" fillId="0" borderId="1" xfId="0" applyNumberForma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3" fontId="0" fillId="0" borderId="0" xfId="0" applyNumberFormat="1"/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2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0" fillId="0" borderId="2" xfId="0" applyNumberFormat="1" applyFont="1" applyBorder="1"/>
    <xf numFmtId="1" fontId="0" fillId="0" borderId="5" xfId="0" applyNumberFormat="1" applyFont="1" applyBorder="1"/>
    <xf numFmtId="0" fontId="0" fillId="0" borderId="5" xfId="0" applyBorder="1"/>
    <xf numFmtId="1" fontId="1" fillId="0" borderId="5" xfId="0" applyNumberFormat="1" applyFont="1" applyBorder="1"/>
    <xf numFmtId="0" fontId="0" fillId="0" borderId="2" xfId="0" applyBorder="1"/>
    <xf numFmtId="1" fontId="1" fillId="0" borderId="2" xfId="0" applyNumberFormat="1" applyFont="1" applyBorder="1"/>
  </cellXfs>
  <cellStyles count="8">
    <cellStyle name="Comma 2" xfId="3"/>
    <cellStyle name="Comma 3" xfId="5"/>
    <cellStyle name="Comma 4" xfId="7"/>
    <cellStyle name="Currency" xfId="2" builtinId="4"/>
    <cellStyle name="Excel Built-in Normal" xfId="6"/>
    <cellStyle name="Normal" xfId="0" builtinId="0"/>
    <cellStyle name="Normal 2" xfId="4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63" width="16" style="71" customWidth="1"/>
    <col min="64" max="64" width="16" style="32" customWidth="1"/>
    <col min="65" max="65" width="16" style="7" customWidth="1"/>
    <col min="66" max="16384" width="9.140625" style="71"/>
  </cols>
  <sheetData>
    <row r="1" spans="1:65" ht="18.75" x14ac:dyDescent="0.3">
      <c r="A1" s="4" t="s">
        <v>32</v>
      </c>
    </row>
    <row r="2" spans="1:65" x14ac:dyDescent="0.25">
      <c r="A2" s="5" t="s">
        <v>98</v>
      </c>
    </row>
    <row r="3" spans="1:65" s="58" customFormat="1" x14ac:dyDescent="0.25">
      <c r="A3" s="57" t="s">
        <v>0</v>
      </c>
      <c r="B3" s="154" t="s">
        <v>1</v>
      </c>
      <c r="C3" s="155"/>
      <c r="D3" s="154" t="s">
        <v>234</v>
      </c>
      <c r="E3" s="155"/>
      <c r="F3" s="154" t="s">
        <v>2</v>
      </c>
      <c r="G3" s="155"/>
      <c r="H3" s="154" t="s">
        <v>3</v>
      </c>
      <c r="I3" s="155"/>
      <c r="J3" s="154" t="s">
        <v>243</v>
      </c>
      <c r="K3" s="155"/>
      <c r="L3" s="154" t="s">
        <v>235</v>
      </c>
      <c r="M3" s="155"/>
      <c r="N3" s="154" t="s">
        <v>246</v>
      </c>
      <c r="O3" s="155"/>
      <c r="P3" s="154" t="s">
        <v>5</v>
      </c>
      <c r="Q3" s="155"/>
      <c r="R3" s="154" t="s">
        <v>4</v>
      </c>
      <c r="S3" s="155"/>
      <c r="T3" s="154" t="s">
        <v>6</v>
      </c>
      <c r="U3" s="155"/>
      <c r="V3" s="154" t="s">
        <v>7</v>
      </c>
      <c r="W3" s="155"/>
      <c r="X3" s="154" t="s">
        <v>8</v>
      </c>
      <c r="Y3" s="155"/>
      <c r="Z3" s="154" t="s">
        <v>9</v>
      </c>
      <c r="AA3" s="155"/>
      <c r="AB3" s="154" t="s">
        <v>242</v>
      </c>
      <c r="AC3" s="155"/>
      <c r="AD3" s="154" t="s">
        <v>10</v>
      </c>
      <c r="AE3" s="155"/>
      <c r="AF3" s="154" t="s">
        <v>11</v>
      </c>
      <c r="AG3" s="155"/>
      <c r="AH3" s="154" t="s">
        <v>236</v>
      </c>
      <c r="AI3" s="155"/>
      <c r="AJ3" s="154" t="s">
        <v>245</v>
      </c>
      <c r="AK3" s="155"/>
      <c r="AL3" s="154" t="s">
        <v>12</v>
      </c>
      <c r="AM3" s="155"/>
      <c r="AN3" s="154" t="s">
        <v>237</v>
      </c>
      <c r="AO3" s="155"/>
      <c r="AP3" s="154" t="s">
        <v>238</v>
      </c>
      <c r="AQ3" s="155"/>
      <c r="AR3" s="154" t="s">
        <v>241</v>
      </c>
      <c r="AS3" s="155"/>
      <c r="AT3" s="154" t="s">
        <v>13</v>
      </c>
      <c r="AU3" s="155"/>
      <c r="AV3" s="154" t="s">
        <v>14</v>
      </c>
      <c r="AW3" s="155"/>
      <c r="AX3" s="154" t="s">
        <v>15</v>
      </c>
      <c r="AY3" s="155"/>
      <c r="AZ3" s="154" t="s">
        <v>16</v>
      </c>
      <c r="BA3" s="155"/>
      <c r="BB3" s="154" t="s">
        <v>17</v>
      </c>
      <c r="BC3" s="155"/>
      <c r="BD3" s="154" t="s">
        <v>239</v>
      </c>
      <c r="BE3" s="155"/>
      <c r="BF3" s="154" t="s">
        <v>240</v>
      </c>
      <c r="BG3" s="155"/>
      <c r="BH3" s="154" t="s">
        <v>18</v>
      </c>
      <c r="BI3" s="155"/>
      <c r="BJ3" s="154" t="s">
        <v>19</v>
      </c>
      <c r="BK3" s="155"/>
      <c r="BL3" s="156" t="s">
        <v>20</v>
      </c>
      <c r="BM3" s="157"/>
    </row>
    <row r="4" spans="1:65" s="55" customFormat="1" ht="30" x14ac:dyDescent="0.25">
      <c r="A4" s="52"/>
      <c r="B4" s="53" t="s">
        <v>300</v>
      </c>
      <c r="C4" s="54" t="s">
        <v>301</v>
      </c>
      <c r="D4" s="53" t="s">
        <v>300</v>
      </c>
      <c r="E4" s="54" t="s">
        <v>301</v>
      </c>
      <c r="F4" s="53" t="s">
        <v>300</v>
      </c>
      <c r="G4" s="54" t="s">
        <v>301</v>
      </c>
      <c r="H4" s="53" t="s">
        <v>300</v>
      </c>
      <c r="I4" s="54" t="s">
        <v>301</v>
      </c>
      <c r="J4" s="53" t="s">
        <v>300</v>
      </c>
      <c r="K4" s="54" t="s">
        <v>301</v>
      </c>
      <c r="L4" s="53" t="s">
        <v>300</v>
      </c>
      <c r="M4" s="54" t="s">
        <v>301</v>
      </c>
      <c r="N4" s="53" t="s">
        <v>300</v>
      </c>
      <c r="O4" s="54" t="s">
        <v>301</v>
      </c>
      <c r="P4" s="53" t="s">
        <v>300</v>
      </c>
      <c r="Q4" s="54" t="s">
        <v>301</v>
      </c>
      <c r="R4" s="53" t="s">
        <v>300</v>
      </c>
      <c r="S4" s="54" t="s">
        <v>301</v>
      </c>
      <c r="T4" s="53" t="s">
        <v>300</v>
      </c>
      <c r="U4" s="54" t="s">
        <v>301</v>
      </c>
      <c r="V4" s="53" t="s">
        <v>300</v>
      </c>
      <c r="W4" s="54" t="s">
        <v>301</v>
      </c>
      <c r="X4" s="53" t="s">
        <v>300</v>
      </c>
      <c r="Y4" s="54" t="s">
        <v>301</v>
      </c>
      <c r="Z4" s="53" t="s">
        <v>300</v>
      </c>
      <c r="AA4" s="54" t="s">
        <v>301</v>
      </c>
      <c r="AB4" s="53" t="s">
        <v>300</v>
      </c>
      <c r="AC4" s="54" t="s">
        <v>301</v>
      </c>
      <c r="AD4" s="53" t="s">
        <v>300</v>
      </c>
      <c r="AE4" s="54" t="s">
        <v>301</v>
      </c>
      <c r="AF4" s="53" t="s">
        <v>300</v>
      </c>
      <c r="AG4" s="54" t="s">
        <v>301</v>
      </c>
      <c r="AH4" s="53" t="s">
        <v>300</v>
      </c>
      <c r="AI4" s="54" t="s">
        <v>301</v>
      </c>
      <c r="AJ4" s="53" t="s">
        <v>300</v>
      </c>
      <c r="AK4" s="54" t="s">
        <v>301</v>
      </c>
      <c r="AL4" s="53" t="s">
        <v>300</v>
      </c>
      <c r="AM4" s="54" t="s">
        <v>301</v>
      </c>
      <c r="AN4" s="53" t="s">
        <v>300</v>
      </c>
      <c r="AO4" s="54" t="s">
        <v>301</v>
      </c>
      <c r="AP4" s="53" t="s">
        <v>300</v>
      </c>
      <c r="AQ4" s="54" t="s">
        <v>301</v>
      </c>
      <c r="AR4" s="53" t="s">
        <v>300</v>
      </c>
      <c r="AS4" s="54" t="s">
        <v>301</v>
      </c>
      <c r="AT4" s="53" t="s">
        <v>300</v>
      </c>
      <c r="AU4" s="54" t="s">
        <v>301</v>
      </c>
      <c r="AV4" s="53" t="s">
        <v>300</v>
      </c>
      <c r="AW4" s="54" t="s">
        <v>301</v>
      </c>
      <c r="AX4" s="53" t="s">
        <v>300</v>
      </c>
      <c r="AY4" s="54" t="s">
        <v>301</v>
      </c>
      <c r="AZ4" s="53" t="s">
        <v>300</v>
      </c>
      <c r="BA4" s="54" t="s">
        <v>301</v>
      </c>
      <c r="BB4" s="53" t="s">
        <v>300</v>
      </c>
      <c r="BC4" s="54" t="s">
        <v>301</v>
      </c>
      <c r="BD4" s="53" t="s">
        <v>300</v>
      </c>
      <c r="BE4" s="54" t="s">
        <v>301</v>
      </c>
      <c r="BF4" s="53" t="s">
        <v>300</v>
      </c>
      <c r="BG4" s="54" t="s">
        <v>301</v>
      </c>
      <c r="BH4" s="53" t="s">
        <v>300</v>
      </c>
      <c r="BI4" s="54" t="s">
        <v>301</v>
      </c>
      <c r="BJ4" s="53" t="s">
        <v>300</v>
      </c>
      <c r="BK4" s="54" t="s">
        <v>301</v>
      </c>
      <c r="BL4" s="53" t="s">
        <v>300</v>
      </c>
      <c r="BM4" s="54" t="s">
        <v>301</v>
      </c>
    </row>
    <row r="5" spans="1:65" x14ac:dyDescent="0.25">
      <c r="A5" s="2" t="s">
        <v>21</v>
      </c>
      <c r="B5" s="91">
        <v>14242</v>
      </c>
      <c r="C5" s="91">
        <v>44644</v>
      </c>
      <c r="D5" s="91">
        <v>40037</v>
      </c>
      <c r="E5" s="91">
        <v>118929</v>
      </c>
      <c r="F5" s="91">
        <v>176460</v>
      </c>
      <c r="G5" s="91">
        <v>684643</v>
      </c>
      <c r="H5" s="91">
        <v>198841</v>
      </c>
      <c r="I5" s="91">
        <v>777937</v>
      </c>
      <c r="J5" s="91">
        <v>76915</v>
      </c>
      <c r="K5" s="91">
        <v>251084</v>
      </c>
      <c r="L5" s="91">
        <v>87062</v>
      </c>
      <c r="M5" s="91">
        <v>343709</v>
      </c>
      <c r="N5" s="91">
        <v>101187</v>
      </c>
      <c r="O5" s="91">
        <v>340423</v>
      </c>
      <c r="P5" s="91">
        <v>30240.44</v>
      </c>
      <c r="Q5" s="91">
        <v>88216.36</v>
      </c>
      <c r="R5" s="90">
        <v>6229.1</v>
      </c>
      <c r="S5" s="90">
        <v>23273.18</v>
      </c>
      <c r="T5" s="91">
        <v>5167.29</v>
      </c>
      <c r="U5" s="91">
        <v>16260.32</v>
      </c>
      <c r="V5" s="91">
        <v>172720</v>
      </c>
      <c r="W5" s="91">
        <v>687865</v>
      </c>
      <c r="X5" s="91">
        <v>331780</v>
      </c>
      <c r="Y5" s="91">
        <v>1303209</v>
      </c>
      <c r="Z5" s="91">
        <v>144191</v>
      </c>
      <c r="AA5" s="91">
        <v>556525</v>
      </c>
      <c r="AB5" s="91">
        <v>13143.46</v>
      </c>
      <c r="AC5" s="91">
        <v>48234.17</v>
      </c>
      <c r="AD5" s="91">
        <v>31656</v>
      </c>
      <c r="AE5" s="91">
        <v>126088</v>
      </c>
      <c r="AF5" s="91">
        <v>25564</v>
      </c>
      <c r="AG5" s="91">
        <v>91421</v>
      </c>
      <c r="AH5" s="91">
        <v>24748.560000000001</v>
      </c>
      <c r="AI5" s="91">
        <v>82498.45</v>
      </c>
      <c r="AJ5" s="91">
        <v>57020</v>
      </c>
      <c r="AK5" s="91">
        <v>175251</v>
      </c>
      <c r="AL5" s="91">
        <v>320560.53999999998</v>
      </c>
      <c r="AM5" s="91">
        <v>1232266.78</v>
      </c>
      <c r="AN5" s="91">
        <v>2538</v>
      </c>
      <c r="AO5" s="91">
        <v>8848</v>
      </c>
      <c r="AP5" s="91">
        <v>7997</v>
      </c>
      <c r="AQ5" s="91">
        <v>29704</v>
      </c>
      <c r="AR5" s="91">
        <v>123803</v>
      </c>
      <c r="AS5" s="76">
        <v>513380</v>
      </c>
      <c r="AT5" s="91">
        <v>53486</v>
      </c>
      <c r="AU5" s="91">
        <v>217122</v>
      </c>
      <c r="AV5" s="91">
        <v>121125</v>
      </c>
      <c r="AW5" s="91">
        <v>426396</v>
      </c>
      <c r="AX5" s="91">
        <v>41186</v>
      </c>
      <c r="AY5" s="91">
        <v>179465</v>
      </c>
      <c r="AZ5" s="91">
        <v>262117</v>
      </c>
      <c r="BA5" s="91">
        <v>980916</v>
      </c>
      <c r="BB5" s="91">
        <v>186524</v>
      </c>
      <c r="BC5" s="91">
        <v>663155</v>
      </c>
      <c r="BD5" s="91">
        <v>725978</v>
      </c>
      <c r="BE5" s="91">
        <v>2890528</v>
      </c>
      <c r="BF5" s="91">
        <v>299198</v>
      </c>
      <c r="BG5" s="91">
        <v>1163837</v>
      </c>
      <c r="BH5" s="91">
        <v>407500</v>
      </c>
      <c r="BI5" s="91">
        <v>1369560</v>
      </c>
      <c r="BJ5" s="91">
        <v>41557</v>
      </c>
      <c r="BK5" s="91">
        <v>135721</v>
      </c>
      <c r="BL5" s="67">
        <f>B5+D5+F5+H5+J5+L5+N5+P5+R5+T5+V5+X5+Z5+AB5+AD5+AF5+AH5+AJ5+AL5+AN5+AP5+AR5+AT5+AV5+AX5+AZ5+BB5+BD5+BF5+BH5+BJ5</f>
        <v>4130773.39</v>
      </c>
      <c r="BM5" s="67">
        <f>C5+E5+G5+I5+K5+M5+O5+Q5+S5+U5+W5+Y5+AA5+AC5+AE5+AG5+AI5+AK5+AM5+AO5+AQ5+AS5+AU5+AW5+AY5+BA5+BC5+BE5+BG5+BI5+BK5</f>
        <v>15571109.26</v>
      </c>
    </row>
    <row r="6" spans="1:65" ht="30" x14ac:dyDescent="0.25">
      <c r="A6" s="2" t="s">
        <v>22</v>
      </c>
      <c r="B6" s="91">
        <v>70</v>
      </c>
      <c r="C6" s="91">
        <v>209</v>
      </c>
      <c r="D6" s="91">
        <v>188</v>
      </c>
      <c r="E6" s="91">
        <v>651</v>
      </c>
      <c r="F6" s="91">
        <v>-3810</v>
      </c>
      <c r="G6" s="91">
        <v>-2045</v>
      </c>
      <c r="H6" s="91">
        <v>233</v>
      </c>
      <c r="I6" s="91">
        <v>26904</v>
      </c>
      <c r="J6" s="91">
        <v>56</v>
      </c>
      <c r="K6" s="91">
        <v>364</v>
      </c>
      <c r="L6" s="91">
        <v>416</v>
      </c>
      <c r="M6" s="91">
        <v>6546</v>
      </c>
      <c r="N6" s="91">
        <v>101</v>
      </c>
      <c r="O6" s="91">
        <v>624</v>
      </c>
      <c r="P6" s="91">
        <v>980.49</v>
      </c>
      <c r="Q6" s="91">
        <v>6761.43</v>
      </c>
      <c r="R6" s="90">
        <v>6.13</v>
      </c>
      <c r="S6" s="90">
        <v>522.04999999999995</v>
      </c>
      <c r="T6" s="91">
        <v>-14</v>
      </c>
      <c r="U6" s="91">
        <v>385.51</v>
      </c>
      <c r="V6" s="91">
        <v>3833</v>
      </c>
      <c r="W6" s="91">
        <v>14778</v>
      </c>
      <c r="X6" s="91">
        <v>9760</v>
      </c>
      <c r="Y6" s="91">
        <v>53140</v>
      </c>
      <c r="Z6" s="91">
        <v>2648</v>
      </c>
      <c r="AA6" s="91">
        <v>17666</v>
      </c>
      <c r="AB6" s="91">
        <v>-0.52</v>
      </c>
      <c r="AC6" s="91">
        <v>272.63</v>
      </c>
      <c r="AD6" s="91">
        <v>250</v>
      </c>
      <c r="AE6" s="91">
        <v>670</v>
      </c>
      <c r="AF6" s="91">
        <v>983</v>
      </c>
      <c r="AG6" s="91">
        <v>2275</v>
      </c>
      <c r="AH6" s="91"/>
      <c r="AI6" s="91"/>
      <c r="AJ6" s="91">
        <v>94</v>
      </c>
      <c r="AK6" s="91">
        <v>533</v>
      </c>
      <c r="AL6" s="91">
        <v>19702.95</v>
      </c>
      <c r="AM6" s="91">
        <v>82371.12</v>
      </c>
      <c r="AN6" s="91">
        <v>81</v>
      </c>
      <c r="AO6" s="91">
        <v>789</v>
      </c>
      <c r="AP6" s="91">
        <v>0</v>
      </c>
      <c r="AQ6" s="91">
        <v>32</v>
      </c>
      <c r="AR6" s="91">
        <v>2129</v>
      </c>
      <c r="AS6" s="76">
        <v>11185</v>
      </c>
      <c r="AT6" s="91">
        <v>1822</v>
      </c>
      <c r="AU6" s="91">
        <v>9191</v>
      </c>
      <c r="AV6" s="91">
        <v>-49</v>
      </c>
      <c r="AW6" s="91">
        <v>6301</v>
      </c>
      <c r="AX6" s="91">
        <v>5802</v>
      </c>
      <c r="AY6" s="91">
        <v>16941</v>
      </c>
      <c r="AZ6" s="91">
        <v>381</v>
      </c>
      <c r="BA6" s="91">
        <v>9820</v>
      </c>
      <c r="BB6" s="91">
        <v>162</v>
      </c>
      <c r="BC6" s="91">
        <v>23074</v>
      </c>
      <c r="BD6" s="91">
        <v>11519</v>
      </c>
      <c r="BE6" s="91">
        <v>189386</v>
      </c>
      <c r="BF6" s="91">
        <v>13957</v>
      </c>
      <c r="BG6" s="91">
        <v>57209</v>
      </c>
      <c r="BH6" s="91">
        <v>20362</v>
      </c>
      <c r="BI6" s="91">
        <v>66225</v>
      </c>
      <c r="BJ6" s="91">
        <v>594</v>
      </c>
      <c r="BK6" s="91">
        <v>2528</v>
      </c>
      <c r="BL6" s="67">
        <f t="shared" ref="BL6:BL15" si="0">B6+D6+F6+H6+J6+L6+N6+P6+R6+T6+V6+X6+Z6+AB6+AD6+AF6+AH6+AJ6+AL6+AN6+AP6+AR6+AT6+AV6+AX6+AZ6+BB6+BD6+BF6+BH6+BJ6</f>
        <v>92257.05</v>
      </c>
      <c r="BM6" s="67">
        <f t="shared" ref="BM6:BM15" si="1">C6+E6+G6+I6+K6+M6+O6+Q6+S6+U6+W6+Y6+AA6+AC6+AE6+AG6+AI6+AK6+AM6+AO6+AQ6+AS6+AU6+AW6+AY6+BA6+BC6+BE6+BG6+BI6+BK6</f>
        <v>605308.74</v>
      </c>
    </row>
    <row r="7" spans="1:65" x14ac:dyDescent="0.25">
      <c r="A7" s="2" t="s">
        <v>24</v>
      </c>
      <c r="B7" s="91">
        <v>860</v>
      </c>
      <c r="C7" s="91">
        <v>2770</v>
      </c>
      <c r="D7" s="91">
        <v>1852</v>
      </c>
      <c r="E7" s="91">
        <v>6420</v>
      </c>
      <c r="F7" s="91">
        <v>14181</v>
      </c>
      <c r="G7" s="91">
        <v>70805</v>
      </c>
      <c r="H7" s="91">
        <v>26420</v>
      </c>
      <c r="I7" s="91">
        <v>111401</v>
      </c>
      <c r="J7" s="91">
        <v>3633</v>
      </c>
      <c r="K7" s="91">
        <v>12861</v>
      </c>
      <c r="L7" s="91">
        <v>16047</v>
      </c>
      <c r="M7" s="91">
        <v>62325</v>
      </c>
      <c r="N7" s="91">
        <v>10533</v>
      </c>
      <c r="O7" s="91">
        <v>34900</v>
      </c>
      <c r="P7" s="91">
        <v>13425.42</v>
      </c>
      <c r="Q7" s="91">
        <v>52035.16</v>
      </c>
      <c r="R7" s="90">
        <v>484.17</v>
      </c>
      <c r="S7" s="90">
        <v>1586.06</v>
      </c>
      <c r="T7" s="91">
        <v>622.65</v>
      </c>
      <c r="U7" s="91">
        <v>4063.06</v>
      </c>
      <c r="V7" s="91">
        <v>23080</v>
      </c>
      <c r="W7" s="91">
        <v>88809</v>
      </c>
      <c r="X7" s="91">
        <v>44077</v>
      </c>
      <c r="Y7" s="91">
        <v>175941</v>
      </c>
      <c r="Z7" s="91">
        <v>15597</v>
      </c>
      <c r="AA7" s="91">
        <v>62128</v>
      </c>
      <c r="AB7" s="91">
        <v>1577.02</v>
      </c>
      <c r="AC7" s="91">
        <v>5276.28</v>
      </c>
      <c r="AD7" s="91">
        <v>4421</v>
      </c>
      <c r="AE7" s="91">
        <v>16334</v>
      </c>
      <c r="AF7" s="91">
        <v>4787</v>
      </c>
      <c r="AG7" s="91">
        <v>18174</v>
      </c>
      <c r="AH7" s="91">
        <v>26.02</v>
      </c>
      <c r="AI7" s="91">
        <v>265.89</v>
      </c>
      <c r="AJ7" s="91">
        <v>2483</v>
      </c>
      <c r="AK7" s="91">
        <v>8196</v>
      </c>
      <c r="AL7" s="91">
        <v>44748.28</v>
      </c>
      <c r="AM7" s="91">
        <v>175660.52</v>
      </c>
      <c r="AN7" s="91">
        <v>521</v>
      </c>
      <c r="AO7" s="91">
        <v>2044</v>
      </c>
      <c r="AP7" s="91">
        <v>867</v>
      </c>
      <c r="AQ7" s="91">
        <v>3569</v>
      </c>
      <c r="AR7" s="91">
        <v>15856</v>
      </c>
      <c r="AS7" s="91">
        <v>74920</v>
      </c>
      <c r="AT7" s="91">
        <v>8495</v>
      </c>
      <c r="AU7" s="91">
        <v>33672</v>
      </c>
      <c r="AV7" s="91">
        <v>13018</v>
      </c>
      <c r="AW7" s="91">
        <v>47659</v>
      </c>
      <c r="AX7" s="91">
        <v>14835</v>
      </c>
      <c r="AY7" s="91">
        <v>60882</v>
      </c>
      <c r="AZ7" s="91">
        <v>11539</v>
      </c>
      <c r="BA7" s="91">
        <v>38136</v>
      </c>
      <c r="BB7" s="91">
        <v>25382</v>
      </c>
      <c r="BC7" s="91">
        <v>96368</v>
      </c>
      <c r="BD7" s="91">
        <v>68784</v>
      </c>
      <c r="BE7" s="91">
        <v>278649</v>
      </c>
      <c r="BF7" s="91">
        <v>46248</v>
      </c>
      <c r="BG7" s="91">
        <v>166860</v>
      </c>
      <c r="BH7" s="91">
        <v>61451</v>
      </c>
      <c r="BI7" s="91">
        <v>191791</v>
      </c>
      <c r="BJ7" s="91">
        <v>5161</v>
      </c>
      <c r="BK7" s="91">
        <v>18239</v>
      </c>
      <c r="BL7" s="67"/>
      <c r="BM7" s="67"/>
    </row>
    <row r="8" spans="1:65" x14ac:dyDescent="0.25">
      <c r="A8" s="2" t="s">
        <v>23</v>
      </c>
      <c r="B8" s="76">
        <f>B9-B7-B6-B5</f>
        <v>0</v>
      </c>
      <c r="C8" s="91">
        <f t="shared" ref="C8:BK8" si="2">C9-C7-C6-C5</f>
        <v>0</v>
      </c>
      <c r="D8" s="91">
        <f t="shared" si="2"/>
        <v>0</v>
      </c>
      <c r="E8" s="91">
        <f t="shared" si="2"/>
        <v>0</v>
      </c>
      <c r="F8" s="91">
        <f t="shared" si="2"/>
        <v>4303</v>
      </c>
      <c r="G8" s="91">
        <f t="shared" si="2"/>
        <v>6337</v>
      </c>
      <c r="H8" s="91">
        <f t="shared" si="2"/>
        <v>535</v>
      </c>
      <c r="I8" s="91">
        <f t="shared" si="2"/>
        <v>2269</v>
      </c>
      <c r="J8" s="91">
        <f t="shared" si="2"/>
        <v>31870</v>
      </c>
      <c r="K8" s="91">
        <f t="shared" si="2"/>
        <v>31870</v>
      </c>
      <c r="L8" s="91">
        <f t="shared" si="2"/>
        <v>10268</v>
      </c>
      <c r="M8" s="91">
        <f t="shared" si="2"/>
        <v>33902</v>
      </c>
      <c r="N8" s="91">
        <f t="shared" si="2"/>
        <v>-111</v>
      </c>
      <c r="O8" s="91">
        <f t="shared" si="2"/>
        <v>0</v>
      </c>
      <c r="P8" s="91">
        <f t="shared" si="2"/>
        <v>166.34000000000378</v>
      </c>
      <c r="Q8" s="91">
        <f t="shared" si="2"/>
        <v>306.1200000000099</v>
      </c>
      <c r="R8" s="91">
        <f t="shared" si="2"/>
        <v>24.679999999999382</v>
      </c>
      <c r="S8" s="91">
        <f t="shared" si="2"/>
        <v>27.279999999998836</v>
      </c>
      <c r="T8" s="91">
        <f t="shared" si="2"/>
        <v>6.5200000000004366</v>
      </c>
      <c r="U8" s="91">
        <f t="shared" si="2"/>
        <v>12.679999999998472</v>
      </c>
      <c r="V8" s="91">
        <f t="shared" si="2"/>
        <v>221</v>
      </c>
      <c r="W8" s="91">
        <f t="shared" si="2"/>
        <v>627</v>
      </c>
      <c r="X8" s="91">
        <f t="shared" si="2"/>
        <v>78017</v>
      </c>
      <c r="Y8" s="91">
        <f t="shared" si="2"/>
        <v>80698</v>
      </c>
      <c r="Z8" s="91">
        <f t="shared" si="2"/>
        <v>-128</v>
      </c>
      <c r="AA8" s="91">
        <f t="shared" si="2"/>
        <v>-353</v>
      </c>
      <c r="AB8" s="91">
        <f t="shared" si="2"/>
        <v>3518.8300000000017</v>
      </c>
      <c r="AC8" s="91">
        <f t="shared" si="2"/>
        <v>3521.8900000000067</v>
      </c>
      <c r="AD8" s="91">
        <f t="shared" si="2"/>
        <v>13619</v>
      </c>
      <c r="AE8" s="91">
        <f t="shared" si="2"/>
        <v>13632</v>
      </c>
      <c r="AF8" s="91">
        <f t="shared" si="2"/>
        <v>3072</v>
      </c>
      <c r="AG8" s="91">
        <f t="shared" si="2"/>
        <v>8976</v>
      </c>
      <c r="AH8" s="91">
        <f t="shared" si="2"/>
        <v>18360.41</v>
      </c>
      <c r="AI8" s="91">
        <f t="shared" si="2"/>
        <v>20968.559999999998</v>
      </c>
      <c r="AJ8" s="91">
        <f t="shared" si="2"/>
        <v>12032</v>
      </c>
      <c r="AK8" s="91">
        <f t="shared" si="2"/>
        <v>27172</v>
      </c>
      <c r="AL8" s="91">
        <f t="shared" si="2"/>
        <v>874.19000000006054</v>
      </c>
      <c r="AM8" s="91">
        <f t="shared" si="2"/>
        <v>874.19000000017695</v>
      </c>
      <c r="AN8" s="91">
        <f t="shared" si="2"/>
        <v>0</v>
      </c>
      <c r="AO8" s="91">
        <f t="shared" si="2"/>
        <v>0</v>
      </c>
      <c r="AP8" s="91">
        <f t="shared" si="2"/>
        <v>1430</v>
      </c>
      <c r="AQ8" s="91">
        <f t="shared" si="2"/>
        <v>5954</v>
      </c>
      <c r="AR8" s="91">
        <f t="shared" si="2"/>
        <v>15984</v>
      </c>
      <c r="AS8" s="91">
        <f t="shared" si="2"/>
        <v>35895</v>
      </c>
      <c r="AT8" s="91">
        <f t="shared" si="2"/>
        <v>159</v>
      </c>
      <c r="AU8" s="91">
        <f t="shared" si="2"/>
        <v>677</v>
      </c>
      <c r="AV8" s="91">
        <f t="shared" si="2"/>
        <v>609</v>
      </c>
      <c r="AW8" s="91">
        <f t="shared" si="2"/>
        <v>734</v>
      </c>
      <c r="AX8" s="91">
        <f t="shared" si="2"/>
        <v>151</v>
      </c>
      <c r="AY8" s="91">
        <f t="shared" si="2"/>
        <v>299</v>
      </c>
      <c r="AZ8" s="91">
        <f t="shared" si="2"/>
        <v>0</v>
      </c>
      <c r="BA8" s="91">
        <f t="shared" si="2"/>
        <v>0</v>
      </c>
      <c r="BB8" s="91">
        <f t="shared" si="2"/>
        <v>6669</v>
      </c>
      <c r="BC8" s="91">
        <f t="shared" si="2"/>
        <v>7295</v>
      </c>
      <c r="BD8" s="91">
        <f t="shared" si="2"/>
        <v>0</v>
      </c>
      <c r="BE8" s="91">
        <f t="shared" si="2"/>
        <v>-1</v>
      </c>
      <c r="BF8" s="91">
        <f t="shared" si="2"/>
        <v>6828</v>
      </c>
      <c r="BG8" s="91">
        <f t="shared" si="2"/>
        <v>2256</v>
      </c>
      <c r="BH8" s="91">
        <f t="shared" si="2"/>
        <v>58897</v>
      </c>
      <c r="BI8" s="91">
        <f t="shared" si="2"/>
        <v>58979</v>
      </c>
      <c r="BJ8" s="91">
        <f t="shared" si="2"/>
        <v>0</v>
      </c>
      <c r="BK8" s="91">
        <f t="shared" si="2"/>
        <v>0</v>
      </c>
      <c r="BL8" s="67">
        <f t="shared" si="0"/>
        <v>267375.97000000009</v>
      </c>
      <c r="BM8" s="67">
        <f t="shared" si="1"/>
        <v>342928.7200000002</v>
      </c>
    </row>
    <row r="9" spans="1:65" s="7" customFormat="1" x14ac:dyDescent="0.25">
      <c r="A9" s="3" t="s">
        <v>25</v>
      </c>
      <c r="B9" s="10">
        <v>15172</v>
      </c>
      <c r="C9" s="10">
        <v>47623</v>
      </c>
      <c r="D9" s="10">
        <v>42077</v>
      </c>
      <c r="E9" s="10">
        <v>126000</v>
      </c>
      <c r="F9" s="10">
        <v>191134</v>
      </c>
      <c r="G9" s="10">
        <v>759740</v>
      </c>
      <c r="H9" s="10">
        <v>226029</v>
      </c>
      <c r="I9" s="10">
        <v>918511</v>
      </c>
      <c r="J9" s="10">
        <v>112474</v>
      </c>
      <c r="K9" s="10">
        <v>296179</v>
      </c>
      <c r="L9" s="10">
        <v>113793</v>
      </c>
      <c r="M9" s="10">
        <v>446482</v>
      </c>
      <c r="N9" s="10">
        <v>111710</v>
      </c>
      <c r="O9" s="10">
        <v>375947</v>
      </c>
      <c r="P9" s="10">
        <v>44812.69</v>
      </c>
      <c r="Q9" s="10">
        <v>147319.07</v>
      </c>
      <c r="R9" s="127">
        <v>6744.08</v>
      </c>
      <c r="S9" s="127">
        <v>25408.57</v>
      </c>
      <c r="T9" s="10">
        <v>5782.46</v>
      </c>
      <c r="U9" s="10">
        <v>20721.57</v>
      </c>
      <c r="V9" s="10">
        <v>199854</v>
      </c>
      <c r="W9" s="10">
        <v>792079</v>
      </c>
      <c r="X9" s="10">
        <v>463634</v>
      </c>
      <c r="Y9" s="10">
        <v>1612988</v>
      </c>
      <c r="Z9" s="10">
        <v>162308</v>
      </c>
      <c r="AA9" s="10">
        <v>635966</v>
      </c>
      <c r="AB9" s="10">
        <v>18238.79</v>
      </c>
      <c r="AC9" s="10">
        <v>57304.97</v>
      </c>
      <c r="AD9" s="10">
        <v>49946</v>
      </c>
      <c r="AE9" s="10">
        <v>156724</v>
      </c>
      <c r="AF9" s="10">
        <v>34406</v>
      </c>
      <c r="AG9" s="10">
        <v>120846</v>
      </c>
      <c r="AH9" s="10">
        <v>43134.99</v>
      </c>
      <c r="AI9" s="10">
        <v>103732.9</v>
      </c>
      <c r="AJ9" s="10">
        <v>71629</v>
      </c>
      <c r="AK9" s="10">
        <v>211152</v>
      </c>
      <c r="AL9" s="10">
        <v>385885.96</v>
      </c>
      <c r="AM9" s="10">
        <v>1491172.61</v>
      </c>
      <c r="AN9" s="10">
        <v>3140</v>
      </c>
      <c r="AO9" s="10">
        <v>11681</v>
      </c>
      <c r="AP9" s="10">
        <v>10294</v>
      </c>
      <c r="AQ9" s="10">
        <v>39259</v>
      </c>
      <c r="AR9" s="10">
        <v>157772</v>
      </c>
      <c r="AS9" s="10">
        <v>635380</v>
      </c>
      <c r="AT9" s="10">
        <v>63962</v>
      </c>
      <c r="AU9" s="10">
        <v>260662</v>
      </c>
      <c r="AV9" s="10">
        <v>134703</v>
      </c>
      <c r="AW9" s="10">
        <v>481090</v>
      </c>
      <c r="AX9" s="10">
        <v>61974</v>
      </c>
      <c r="AY9" s="10">
        <v>257587</v>
      </c>
      <c r="AZ9" s="10">
        <v>274037</v>
      </c>
      <c r="BA9" s="10">
        <v>1028872</v>
      </c>
      <c r="BB9" s="10">
        <v>218737</v>
      </c>
      <c r="BC9" s="10">
        <v>789892</v>
      </c>
      <c r="BD9" s="10">
        <v>806281</v>
      </c>
      <c r="BE9" s="10">
        <v>3358562</v>
      </c>
      <c r="BF9" s="10">
        <v>366231</v>
      </c>
      <c r="BG9" s="10">
        <v>1390162</v>
      </c>
      <c r="BH9" s="10">
        <v>548210</v>
      </c>
      <c r="BI9" s="10">
        <v>1686555</v>
      </c>
      <c r="BJ9" s="10">
        <v>47312</v>
      </c>
      <c r="BK9" s="10">
        <v>156488</v>
      </c>
      <c r="BL9" s="63">
        <f t="shared" si="0"/>
        <v>4991417.9700000007</v>
      </c>
      <c r="BM9" s="63">
        <f t="shared" si="1"/>
        <v>18442086.689999998</v>
      </c>
    </row>
    <row r="10" spans="1:65" x14ac:dyDescent="0.25">
      <c r="A10" s="2" t="s">
        <v>26</v>
      </c>
      <c r="B10" s="91">
        <v>11481</v>
      </c>
      <c r="C10" s="91">
        <v>43673</v>
      </c>
      <c r="D10" s="91">
        <v>21403</v>
      </c>
      <c r="E10" s="91">
        <v>82729</v>
      </c>
      <c r="F10" s="91">
        <v>146101</v>
      </c>
      <c r="G10" s="91">
        <v>660075</v>
      </c>
      <c r="H10" s="91">
        <v>136773</v>
      </c>
      <c r="I10" s="91">
        <v>567599</v>
      </c>
      <c r="J10" s="91">
        <v>33074</v>
      </c>
      <c r="K10" s="91">
        <v>163373</v>
      </c>
      <c r="L10" s="91">
        <v>58385</v>
      </c>
      <c r="M10" s="91">
        <v>241601</v>
      </c>
      <c r="N10" s="91">
        <v>69178</v>
      </c>
      <c r="O10" s="91">
        <v>251968</v>
      </c>
      <c r="P10" s="91">
        <v>-10053.59</v>
      </c>
      <c r="Q10" s="91">
        <v>54619.29</v>
      </c>
      <c r="R10" s="90">
        <v>5433.44</v>
      </c>
      <c r="S10" s="90">
        <v>22508.14</v>
      </c>
      <c r="T10" s="91">
        <v>1168.17</v>
      </c>
      <c r="U10" s="91">
        <v>10692.37</v>
      </c>
      <c r="V10" s="91">
        <v>135914</v>
      </c>
      <c r="W10" s="91">
        <v>578106</v>
      </c>
      <c r="X10" s="91">
        <v>238929</v>
      </c>
      <c r="Y10" s="91">
        <v>978190</v>
      </c>
      <c r="Z10" s="91">
        <v>136541</v>
      </c>
      <c r="AA10" s="91">
        <v>523690</v>
      </c>
      <c r="AB10" s="91">
        <v>10427.34</v>
      </c>
      <c r="AC10" s="91">
        <v>37144.480000000003</v>
      </c>
      <c r="AD10" s="91">
        <v>22069</v>
      </c>
      <c r="AE10" s="91">
        <v>84157</v>
      </c>
      <c r="AF10" s="91">
        <v>16702</v>
      </c>
      <c r="AG10" s="91">
        <v>62764</v>
      </c>
      <c r="AH10" s="91">
        <v>14008.64</v>
      </c>
      <c r="AI10" s="91">
        <v>62838.35</v>
      </c>
      <c r="AJ10" s="91">
        <v>28092</v>
      </c>
      <c r="AK10" s="91">
        <v>108863</v>
      </c>
      <c r="AL10" s="91">
        <v>357879.97</v>
      </c>
      <c r="AM10" s="91">
        <v>1284132.9099999999</v>
      </c>
      <c r="AN10" s="91">
        <v>1988</v>
      </c>
      <c r="AO10" s="91">
        <v>5865</v>
      </c>
      <c r="AP10" s="91">
        <v>5688</v>
      </c>
      <c r="AQ10" s="91">
        <v>24122</v>
      </c>
      <c r="AR10" s="76">
        <v>95379</v>
      </c>
      <c r="AS10" s="76">
        <v>397998</v>
      </c>
      <c r="AT10" s="91">
        <v>43082</v>
      </c>
      <c r="AU10" s="91">
        <v>182839</v>
      </c>
      <c r="AV10" s="91">
        <v>95670</v>
      </c>
      <c r="AW10" s="91">
        <v>368019</v>
      </c>
      <c r="AX10" s="91">
        <v>24499</v>
      </c>
      <c r="AY10" s="91">
        <v>129847</v>
      </c>
      <c r="AZ10" s="91">
        <v>178480</v>
      </c>
      <c r="BA10" s="91">
        <v>853999</v>
      </c>
      <c r="BB10" s="91">
        <v>129497</v>
      </c>
      <c r="BC10" s="91">
        <v>497412</v>
      </c>
      <c r="BD10" s="91">
        <v>721622</v>
      </c>
      <c r="BE10" s="91">
        <v>2875014</v>
      </c>
      <c r="BF10" s="91">
        <v>328152</v>
      </c>
      <c r="BG10" s="91">
        <v>1289497</v>
      </c>
      <c r="BH10" s="91">
        <v>465387</v>
      </c>
      <c r="BI10" s="91">
        <v>1350002</v>
      </c>
      <c r="BJ10" s="91">
        <v>35038</v>
      </c>
      <c r="BK10" s="91">
        <v>105548</v>
      </c>
      <c r="BL10" s="67">
        <f t="shared" si="0"/>
        <v>3557987.9699999997</v>
      </c>
      <c r="BM10" s="67">
        <f t="shared" si="1"/>
        <v>13898885.539999999</v>
      </c>
    </row>
    <row r="11" spans="1:65" x14ac:dyDescent="0.25">
      <c r="A11" s="2" t="s">
        <v>27</v>
      </c>
      <c r="B11" s="91">
        <v>-1791</v>
      </c>
      <c r="C11" s="91">
        <v>-3625</v>
      </c>
      <c r="D11" s="91">
        <v>-77</v>
      </c>
      <c r="E11" s="91">
        <v>1907</v>
      </c>
      <c r="F11" s="91">
        <v>-5589</v>
      </c>
      <c r="G11" s="91">
        <v>-20326</v>
      </c>
      <c r="H11" s="91">
        <v>999</v>
      </c>
      <c r="I11" s="91">
        <v>-9425</v>
      </c>
      <c r="J11" s="91">
        <v>4443</v>
      </c>
      <c r="K11" s="91">
        <v>11017</v>
      </c>
      <c r="L11" s="91">
        <v>3752</v>
      </c>
      <c r="M11" s="91">
        <v>12209</v>
      </c>
      <c r="N11" s="91">
        <v>4660</v>
      </c>
      <c r="O11" s="91">
        <v>15942</v>
      </c>
      <c r="P11" s="91">
        <v>-1648.81</v>
      </c>
      <c r="Q11" s="91">
        <v>-3137.84</v>
      </c>
      <c r="R11" s="90">
        <v>-29.88</v>
      </c>
      <c r="S11" s="90">
        <v>408.87</v>
      </c>
      <c r="T11" s="91">
        <v>-276.91000000000003</v>
      </c>
      <c r="U11" s="91">
        <v>-2450.58</v>
      </c>
      <c r="V11" s="91">
        <v>-4937</v>
      </c>
      <c r="W11" s="91">
        <v>-27705</v>
      </c>
      <c r="X11" s="91">
        <v>16010</v>
      </c>
      <c r="Y11" s="91">
        <v>63388</v>
      </c>
      <c r="Z11" s="91">
        <v>11425</v>
      </c>
      <c r="AA11" s="91">
        <v>37668</v>
      </c>
      <c r="AB11" s="91">
        <v>724.06</v>
      </c>
      <c r="AC11" s="91">
        <v>2320.2399999999998</v>
      </c>
      <c r="AD11" s="91">
        <v>2866</v>
      </c>
      <c r="AE11" s="91">
        <v>11936</v>
      </c>
      <c r="AF11" s="91">
        <v>-452</v>
      </c>
      <c r="AG11" s="91">
        <v>-2183</v>
      </c>
      <c r="AH11" s="91">
        <v>3177.67</v>
      </c>
      <c r="AI11" s="91">
        <v>10063.52</v>
      </c>
      <c r="AJ11" s="91">
        <v>7076</v>
      </c>
      <c r="AK11" s="91">
        <v>12042</v>
      </c>
      <c r="AL11" s="91">
        <v>21502.19</v>
      </c>
      <c r="AM11" s="91">
        <v>83179.5</v>
      </c>
      <c r="AN11" s="91">
        <v>52</v>
      </c>
      <c r="AO11" s="91">
        <v>377</v>
      </c>
      <c r="AP11" s="91">
        <v>1233</v>
      </c>
      <c r="AQ11" s="91">
        <v>4470</v>
      </c>
      <c r="AR11" s="76">
        <v>-12347</v>
      </c>
      <c r="AS11" s="76">
        <v>-14833</v>
      </c>
      <c r="AT11" s="91">
        <v>4743</v>
      </c>
      <c r="AU11" s="91">
        <v>15617</v>
      </c>
      <c r="AV11" s="91">
        <v>370</v>
      </c>
      <c r="AW11" s="91">
        <v>-10885</v>
      </c>
      <c r="AX11" s="91">
        <v>2351</v>
      </c>
      <c r="AY11" s="91">
        <v>8714</v>
      </c>
      <c r="AZ11" s="91">
        <v>50723</v>
      </c>
      <c r="BA11" s="91">
        <v>149218</v>
      </c>
      <c r="BB11" s="91">
        <v>9443</v>
      </c>
      <c r="BC11" s="91">
        <v>23656</v>
      </c>
      <c r="BD11" s="91">
        <v>67287</v>
      </c>
      <c r="BE11" s="91">
        <v>229295</v>
      </c>
      <c r="BF11" s="91">
        <v>26099</v>
      </c>
      <c r="BG11" s="91">
        <v>92616</v>
      </c>
      <c r="BH11" s="91">
        <v>24551</v>
      </c>
      <c r="BI11" s="91">
        <v>90249</v>
      </c>
      <c r="BJ11" s="91">
        <v>1499</v>
      </c>
      <c r="BK11" s="91">
        <v>6693</v>
      </c>
      <c r="BL11" s="67">
        <f t="shared" si="0"/>
        <v>237837.32</v>
      </c>
      <c r="BM11" s="67">
        <f t="shared" si="1"/>
        <v>788415.71</v>
      </c>
    </row>
    <row r="12" spans="1:65" ht="30" x14ac:dyDescent="0.25">
      <c r="A12" s="2" t="s">
        <v>28</v>
      </c>
      <c r="B12" s="91">
        <v>12184</v>
      </c>
      <c r="C12" s="91">
        <v>46876</v>
      </c>
      <c r="D12" s="91">
        <v>24066</v>
      </c>
      <c r="E12" s="91">
        <v>74609</v>
      </c>
      <c r="F12" s="91">
        <v>16734</v>
      </c>
      <c r="G12" s="91">
        <v>40923</v>
      </c>
      <c r="H12" s="91">
        <v>60197</v>
      </c>
      <c r="I12" s="91">
        <v>216483</v>
      </c>
      <c r="J12" s="91">
        <v>34274</v>
      </c>
      <c r="K12" s="91">
        <v>107080</v>
      </c>
      <c r="L12" s="91">
        <v>36730</v>
      </c>
      <c r="M12" s="91">
        <v>133192</v>
      </c>
      <c r="N12" s="91">
        <v>49884</v>
      </c>
      <c r="O12" s="91">
        <v>145555</v>
      </c>
      <c r="P12" s="91">
        <v>9128.7800000000007</v>
      </c>
      <c r="Q12" s="91">
        <v>28151.55</v>
      </c>
      <c r="R12" s="90">
        <v>4076.87</v>
      </c>
      <c r="S12" s="90">
        <v>14265.66</v>
      </c>
      <c r="T12" s="91">
        <v>2650.1</v>
      </c>
      <c r="U12" s="91">
        <v>10713.81</v>
      </c>
      <c r="V12" s="91">
        <v>48871</v>
      </c>
      <c r="W12" s="91">
        <v>194248</v>
      </c>
      <c r="X12" s="91">
        <v>107737</v>
      </c>
      <c r="Y12" s="91">
        <v>392013</v>
      </c>
      <c r="Z12" s="91">
        <v>24329</v>
      </c>
      <c r="AA12" s="91">
        <v>94526</v>
      </c>
      <c r="AB12" s="91">
        <v>8225.43</v>
      </c>
      <c r="AC12" s="91">
        <v>23768.17</v>
      </c>
      <c r="AD12" s="91">
        <v>10833</v>
      </c>
      <c r="AE12" s="91">
        <v>48934</v>
      </c>
      <c r="AF12" s="91">
        <v>17461</v>
      </c>
      <c r="AG12" s="91">
        <v>57032</v>
      </c>
      <c r="AH12" s="91">
        <v>11127.63</v>
      </c>
      <c r="AI12" s="91">
        <v>39780.74</v>
      </c>
      <c r="AJ12" s="91">
        <v>29565</v>
      </c>
      <c r="AK12" s="91">
        <v>85739</v>
      </c>
      <c r="AL12" s="91">
        <v>92325.95</v>
      </c>
      <c r="AM12" s="91">
        <v>280516.15000000002</v>
      </c>
      <c r="AN12" s="91">
        <v>2424</v>
      </c>
      <c r="AO12" s="91">
        <v>13182</v>
      </c>
      <c r="AP12" s="91">
        <v>3920</v>
      </c>
      <c r="AQ12" s="91">
        <v>15135</v>
      </c>
      <c r="AR12" s="76">
        <v>54569</v>
      </c>
      <c r="AS12" s="76">
        <v>183063</v>
      </c>
      <c r="AT12" s="91">
        <v>16761</v>
      </c>
      <c r="AU12" s="91">
        <v>55680</v>
      </c>
      <c r="AV12" s="91">
        <v>39546</v>
      </c>
      <c r="AW12" s="91">
        <v>131431</v>
      </c>
      <c r="AX12" s="91">
        <v>16216</v>
      </c>
      <c r="AY12" s="91">
        <v>47489</v>
      </c>
      <c r="AZ12" s="91">
        <v>54637</v>
      </c>
      <c r="BA12" s="91">
        <v>183853</v>
      </c>
      <c r="BB12" s="91">
        <v>64096</v>
      </c>
      <c r="BC12" s="91">
        <v>223168</v>
      </c>
      <c r="BD12" s="91">
        <v>113307</v>
      </c>
      <c r="BE12" s="91">
        <v>401378</v>
      </c>
      <c r="BF12" s="91">
        <v>108128</v>
      </c>
      <c r="BG12" s="91">
        <v>318978</v>
      </c>
      <c r="BH12" s="91">
        <v>151994</v>
      </c>
      <c r="BI12" s="91">
        <v>414093</v>
      </c>
      <c r="BJ12" s="91">
        <v>8803</v>
      </c>
      <c r="BK12" s="91">
        <v>33050</v>
      </c>
      <c r="BL12" s="67">
        <f t="shared" si="0"/>
        <v>1234800.76</v>
      </c>
      <c r="BM12" s="67">
        <f t="shared" si="1"/>
        <v>4054906.08</v>
      </c>
    </row>
    <row r="13" spans="1:65" x14ac:dyDescent="0.25">
      <c r="A13" s="2" t="s">
        <v>31</v>
      </c>
      <c r="B13" s="76">
        <f>B14-B12-B11-B10</f>
        <v>0</v>
      </c>
      <c r="C13" s="76">
        <f t="shared" ref="C13:I13" si="3">C14-C12-C11-C10</f>
        <v>0</v>
      </c>
      <c r="D13" s="76">
        <f t="shared" si="3"/>
        <v>0</v>
      </c>
      <c r="E13" s="76">
        <f t="shared" si="3"/>
        <v>0</v>
      </c>
      <c r="F13" s="76">
        <f t="shared" si="3"/>
        <v>15800</v>
      </c>
      <c r="G13" s="76">
        <f t="shared" si="3"/>
        <v>7800</v>
      </c>
      <c r="H13" s="76">
        <f t="shared" si="3"/>
        <v>85</v>
      </c>
      <c r="I13" s="76">
        <f t="shared" si="3"/>
        <v>283</v>
      </c>
      <c r="J13" s="76">
        <f t="shared" ref="J13:BJ13" si="4">J14-J12-J11-J10</f>
        <v>0</v>
      </c>
      <c r="K13" s="76">
        <f t="shared" si="4"/>
        <v>-13588</v>
      </c>
      <c r="L13" s="76">
        <f t="shared" si="4"/>
        <v>0</v>
      </c>
      <c r="M13" s="76">
        <f t="shared" si="4"/>
        <v>0</v>
      </c>
      <c r="N13" s="76">
        <f t="shared" si="4"/>
        <v>0</v>
      </c>
      <c r="O13" s="76">
        <f t="shared" ref="O13" si="5">O14-O12-O11-O10</f>
        <v>-5</v>
      </c>
      <c r="P13" s="76">
        <f t="shared" si="4"/>
        <v>19850</v>
      </c>
      <c r="Q13" s="76">
        <f t="shared" si="4"/>
        <v>-802.00000000000728</v>
      </c>
      <c r="R13" s="90">
        <f t="shared" si="4"/>
        <v>0</v>
      </c>
      <c r="S13" s="90">
        <f t="shared" si="4"/>
        <v>-383.61999999999534</v>
      </c>
      <c r="T13" s="76">
        <f t="shared" si="4"/>
        <v>9.9999999999909051E-3</v>
      </c>
      <c r="U13" s="76">
        <f t="shared" si="4"/>
        <v>0</v>
      </c>
      <c r="V13" s="76">
        <f t="shared" si="4"/>
        <v>0</v>
      </c>
      <c r="W13" s="76">
        <f t="shared" ref="W13" si="6">W14-W12-W11-W10</f>
        <v>0</v>
      </c>
      <c r="X13" s="76">
        <f t="shared" si="4"/>
        <v>0</v>
      </c>
      <c r="Y13" s="76">
        <f t="shared" ref="Y13" si="7">Y14-Y12-Y11-Y10</f>
        <v>0</v>
      </c>
      <c r="Z13" s="76">
        <f t="shared" si="4"/>
        <v>0</v>
      </c>
      <c r="AA13" s="76">
        <f t="shared" ref="AA13" si="8">AA14-AA12-AA11-AA10</f>
        <v>0</v>
      </c>
      <c r="AB13" s="76">
        <f t="shared" si="4"/>
        <v>5.0300000000006548</v>
      </c>
      <c r="AC13" s="76">
        <f t="shared" ref="AC13" si="9">AC14-AC12-AC11-AC10</f>
        <v>15.660000000003492</v>
      </c>
      <c r="AD13" s="76">
        <f t="shared" si="4"/>
        <v>0</v>
      </c>
      <c r="AE13" s="76">
        <f t="shared" ref="AE13" si="10">AE14-AE12-AE11-AE10</f>
        <v>0</v>
      </c>
      <c r="AF13" s="76">
        <f t="shared" si="4"/>
        <v>-6</v>
      </c>
      <c r="AG13" s="76">
        <f t="shared" si="4"/>
        <v>-8</v>
      </c>
      <c r="AH13" s="76">
        <f t="shared" si="4"/>
        <v>-9.9999999965802999E-3</v>
      </c>
      <c r="AI13" s="76">
        <f t="shared" si="4"/>
        <v>0</v>
      </c>
      <c r="AJ13" s="76">
        <f t="shared" si="4"/>
        <v>0</v>
      </c>
      <c r="AK13" s="76">
        <f t="shared" ref="AK13" si="11">AK14-AK12-AK11-AK10</f>
        <v>0</v>
      </c>
      <c r="AL13" s="76">
        <f t="shared" si="4"/>
        <v>1742.6900000000023</v>
      </c>
      <c r="AM13" s="76">
        <f t="shared" ref="AM13" si="12">AM14-AM12-AM11-AM10</f>
        <v>5388.6300000001211</v>
      </c>
      <c r="AN13" s="76">
        <f t="shared" si="4"/>
        <v>0</v>
      </c>
      <c r="AO13" s="76">
        <f t="shared" ref="AO13" si="13">AO14-AO12-AO11-AO10</f>
        <v>0</v>
      </c>
      <c r="AP13" s="76">
        <f t="shared" si="4"/>
        <v>0</v>
      </c>
      <c r="AQ13" s="76">
        <f t="shared" ref="AQ13" si="14">AQ14-AQ12-AQ11-AQ10</f>
        <v>0</v>
      </c>
      <c r="AR13" s="76">
        <f t="shared" si="4"/>
        <v>0</v>
      </c>
      <c r="AS13" s="76">
        <f t="shared" ref="AS13" si="15">AS14-AS12-AS11-AS10</f>
        <v>0</v>
      </c>
      <c r="AT13" s="91">
        <f t="shared" si="4"/>
        <v>0</v>
      </c>
      <c r="AU13" s="76">
        <f t="shared" si="4"/>
        <v>0</v>
      </c>
      <c r="AV13" s="76">
        <f t="shared" si="4"/>
        <v>0</v>
      </c>
      <c r="AW13" s="76">
        <f t="shared" si="4"/>
        <v>0</v>
      </c>
      <c r="AX13" s="76">
        <f t="shared" si="4"/>
        <v>0</v>
      </c>
      <c r="AY13" s="76">
        <f t="shared" ref="AY13" si="16">AY14-AY12-AY11-AY10</f>
        <v>0</v>
      </c>
      <c r="AZ13" s="76">
        <f t="shared" si="4"/>
        <v>1</v>
      </c>
      <c r="BA13" s="76">
        <f t="shared" si="4"/>
        <v>0</v>
      </c>
      <c r="BB13" s="76">
        <f t="shared" si="4"/>
        <v>0</v>
      </c>
      <c r="BC13" s="76">
        <f t="shared" ref="BC13" si="17">BC14-BC12-BC11-BC10</f>
        <v>0</v>
      </c>
      <c r="BD13" s="76">
        <f t="shared" si="4"/>
        <v>1</v>
      </c>
      <c r="BE13" s="76">
        <f t="shared" si="4"/>
        <v>0</v>
      </c>
      <c r="BF13" s="76">
        <f t="shared" ref="BF13:BG13" si="18">BF14-BF12-BF11-BF10</f>
        <v>3435</v>
      </c>
      <c r="BG13" s="76">
        <f t="shared" si="18"/>
        <v>-8404</v>
      </c>
      <c r="BH13" s="76">
        <f t="shared" si="4"/>
        <v>-1</v>
      </c>
      <c r="BI13" s="76">
        <f t="shared" ref="BI13" si="19">BI14-BI12-BI11-BI10</f>
        <v>0</v>
      </c>
      <c r="BJ13" s="76">
        <f t="shared" si="4"/>
        <v>26</v>
      </c>
      <c r="BK13" s="76">
        <f t="shared" ref="BK13" si="20">BK14-BK12-BK11-BK10</f>
        <v>65</v>
      </c>
      <c r="BL13" s="67">
        <f t="shared" si="0"/>
        <v>40938.720000000008</v>
      </c>
      <c r="BM13" s="67">
        <f t="shared" si="1"/>
        <v>-9638.3299999998781</v>
      </c>
    </row>
    <row r="14" spans="1:65" s="7" customFormat="1" x14ac:dyDescent="0.25">
      <c r="A14" s="3" t="s">
        <v>29</v>
      </c>
      <c r="B14" s="10">
        <v>21874</v>
      </c>
      <c r="C14" s="10">
        <v>86924</v>
      </c>
      <c r="D14" s="10">
        <v>45392</v>
      </c>
      <c r="E14" s="10">
        <v>159245</v>
      </c>
      <c r="F14" s="10">
        <v>173046</v>
      </c>
      <c r="G14" s="10">
        <v>688472</v>
      </c>
      <c r="H14" s="10">
        <v>198054</v>
      </c>
      <c r="I14" s="10">
        <v>774940</v>
      </c>
      <c r="J14" s="10">
        <v>71791</v>
      </c>
      <c r="K14" s="10">
        <v>267882</v>
      </c>
      <c r="L14" s="10">
        <v>98867</v>
      </c>
      <c r="M14" s="10">
        <v>387002</v>
      </c>
      <c r="N14" s="10">
        <v>123722</v>
      </c>
      <c r="O14" s="10">
        <v>413460</v>
      </c>
      <c r="P14" s="10">
        <v>17276.38</v>
      </c>
      <c r="Q14" s="10">
        <v>78831</v>
      </c>
      <c r="R14" s="127">
        <v>9480.43</v>
      </c>
      <c r="S14" s="127">
        <v>36799.050000000003</v>
      </c>
      <c r="T14" s="10">
        <v>3541.37</v>
      </c>
      <c r="U14" s="10">
        <v>18955.599999999999</v>
      </c>
      <c r="V14" s="10">
        <v>179848</v>
      </c>
      <c r="W14" s="10">
        <v>744649</v>
      </c>
      <c r="X14" s="10">
        <v>362676</v>
      </c>
      <c r="Y14" s="10">
        <v>1433591</v>
      </c>
      <c r="Z14" s="10">
        <v>172295</v>
      </c>
      <c r="AA14" s="10">
        <v>655884</v>
      </c>
      <c r="AB14" s="10">
        <v>19381.86</v>
      </c>
      <c r="AC14" s="10">
        <v>63248.55</v>
      </c>
      <c r="AD14" s="10">
        <v>35768</v>
      </c>
      <c r="AE14" s="10">
        <v>145027</v>
      </c>
      <c r="AF14" s="10">
        <v>33705</v>
      </c>
      <c r="AG14" s="10">
        <v>117605</v>
      </c>
      <c r="AH14" s="10">
        <v>28313.93</v>
      </c>
      <c r="AI14" s="10">
        <v>112682.61</v>
      </c>
      <c r="AJ14" s="10">
        <v>64733</v>
      </c>
      <c r="AK14" s="10">
        <v>206644</v>
      </c>
      <c r="AL14" s="10">
        <v>473450.8</v>
      </c>
      <c r="AM14" s="10">
        <v>1653217.19</v>
      </c>
      <c r="AN14" s="10">
        <v>4464</v>
      </c>
      <c r="AO14" s="10">
        <v>19424</v>
      </c>
      <c r="AP14" s="10">
        <v>10841</v>
      </c>
      <c r="AQ14" s="10">
        <v>43727</v>
      </c>
      <c r="AR14" s="10">
        <v>137601</v>
      </c>
      <c r="AS14" s="10">
        <v>566228</v>
      </c>
      <c r="AT14" s="10">
        <v>64586</v>
      </c>
      <c r="AU14" s="10">
        <v>254136</v>
      </c>
      <c r="AV14" s="10">
        <v>135586</v>
      </c>
      <c r="AW14" s="10">
        <v>488565</v>
      </c>
      <c r="AX14" s="10">
        <v>43066</v>
      </c>
      <c r="AY14" s="10">
        <v>186050</v>
      </c>
      <c r="AZ14" s="10">
        <v>283841</v>
      </c>
      <c r="BA14" s="10">
        <v>1187070</v>
      </c>
      <c r="BB14" s="10">
        <v>203036</v>
      </c>
      <c r="BC14" s="10">
        <v>744236</v>
      </c>
      <c r="BD14" s="10">
        <v>902217</v>
      </c>
      <c r="BE14" s="10">
        <v>3505687</v>
      </c>
      <c r="BF14" s="10">
        <v>465814</v>
      </c>
      <c r="BG14" s="10">
        <v>1692687</v>
      </c>
      <c r="BH14" s="10">
        <v>641931</v>
      </c>
      <c r="BI14" s="10">
        <v>1854344</v>
      </c>
      <c r="BJ14" s="10">
        <v>45366</v>
      </c>
      <c r="BK14" s="10">
        <v>145356</v>
      </c>
      <c r="BL14" s="63">
        <f t="shared" si="0"/>
        <v>5071564.7699999996</v>
      </c>
      <c r="BM14" s="63">
        <f t="shared" si="1"/>
        <v>18732569</v>
      </c>
    </row>
    <row r="15" spans="1:65" s="7" customFormat="1" x14ac:dyDescent="0.25">
      <c r="A15" s="3" t="s">
        <v>30</v>
      </c>
      <c r="B15" s="10">
        <f>B9-B14</f>
        <v>-6702</v>
      </c>
      <c r="C15" s="10">
        <f t="shared" ref="C15:I15" si="21">C9-C14</f>
        <v>-39301</v>
      </c>
      <c r="D15" s="10">
        <f t="shared" si="21"/>
        <v>-3315</v>
      </c>
      <c r="E15" s="10">
        <f t="shared" si="21"/>
        <v>-33245</v>
      </c>
      <c r="F15" s="10">
        <f t="shared" si="21"/>
        <v>18088</v>
      </c>
      <c r="G15" s="10">
        <f t="shared" si="21"/>
        <v>71268</v>
      </c>
      <c r="H15" s="10">
        <f t="shared" si="21"/>
        <v>27975</v>
      </c>
      <c r="I15" s="10">
        <f t="shared" si="21"/>
        <v>143571</v>
      </c>
      <c r="J15" s="10">
        <f t="shared" ref="J15:BJ15" si="22">J9-J14</f>
        <v>40683</v>
      </c>
      <c r="K15" s="10">
        <f t="shared" si="22"/>
        <v>28297</v>
      </c>
      <c r="L15" s="10">
        <f t="shared" si="22"/>
        <v>14926</v>
      </c>
      <c r="M15" s="10">
        <f t="shared" si="22"/>
        <v>59480</v>
      </c>
      <c r="N15" s="10">
        <f t="shared" si="22"/>
        <v>-12012</v>
      </c>
      <c r="O15" s="10">
        <f t="shared" ref="O15" si="23">O9-O14</f>
        <v>-37513</v>
      </c>
      <c r="P15" s="10">
        <f t="shared" si="22"/>
        <v>27536.31</v>
      </c>
      <c r="Q15" s="10">
        <f t="shared" si="22"/>
        <v>68488.070000000007</v>
      </c>
      <c r="R15" s="127">
        <f t="shared" si="22"/>
        <v>-2736.3500000000004</v>
      </c>
      <c r="S15" s="127">
        <f t="shared" si="22"/>
        <v>-11390.480000000003</v>
      </c>
      <c r="T15" s="10">
        <f t="shared" si="22"/>
        <v>2241.09</v>
      </c>
      <c r="U15" s="10">
        <f t="shared" si="22"/>
        <v>1765.9700000000012</v>
      </c>
      <c r="V15" s="10">
        <f t="shared" si="22"/>
        <v>20006</v>
      </c>
      <c r="W15" s="10">
        <f t="shared" ref="W15" si="24">W9-W14</f>
        <v>47430</v>
      </c>
      <c r="X15" s="10">
        <f t="shared" si="22"/>
        <v>100958</v>
      </c>
      <c r="Y15" s="10">
        <f t="shared" ref="Y15" si="25">Y9-Y14</f>
        <v>179397</v>
      </c>
      <c r="Z15" s="10">
        <f t="shared" si="22"/>
        <v>-9987</v>
      </c>
      <c r="AA15" s="10">
        <f t="shared" ref="AA15" si="26">AA9-AA14</f>
        <v>-19918</v>
      </c>
      <c r="AB15" s="10">
        <f t="shared" si="22"/>
        <v>-1143.0699999999997</v>
      </c>
      <c r="AC15" s="10">
        <f t="shared" ref="AC15" si="27">AC9-AC14</f>
        <v>-5943.5800000000017</v>
      </c>
      <c r="AD15" s="10">
        <f t="shared" si="22"/>
        <v>14178</v>
      </c>
      <c r="AE15" s="10">
        <f t="shared" ref="AE15" si="28">AE9-AE14</f>
        <v>11697</v>
      </c>
      <c r="AF15" s="10">
        <f t="shared" si="22"/>
        <v>701</v>
      </c>
      <c r="AG15" s="10">
        <f t="shared" si="22"/>
        <v>3241</v>
      </c>
      <c r="AH15" s="10">
        <f t="shared" si="22"/>
        <v>14821.059999999998</v>
      </c>
      <c r="AI15" s="10">
        <f t="shared" si="22"/>
        <v>-8949.7100000000064</v>
      </c>
      <c r="AJ15" s="10">
        <f t="shared" si="22"/>
        <v>6896</v>
      </c>
      <c r="AK15" s="10">
        <f t="shared" ref="AK15" si="29">AK9-AK14</f>
        <v>4508</v>
      </c>
      <c r="AL15" s="10">
        <f t="shared" si="22"/>
        <v>-87564.839999999967</v>
      </c>
      <c r="AM15" s="10">
        <f t="shared" ref="AM15" si="30">AM9-AM14</f>
        <v>-162044.57999999984</v>
      </c>
      <c r="AN15" s="10">
        <f t="shared" si="22"/>
        <v>-1324</v>
      </c>
      <c r="AO15" s="10">
        <f t="shared" ref="AO15" si="31">AO9-AO14</f>
        <v>-7743</v>
      </c>
      <c r="AP15" s="10">
        <f t="shared" si="22"/>
        <v>-547</v>
      </c>
      <c r="AQ15" s="10">
        <f t="shared" ref="AQ15" si="32">AQ9-AQ14</f>
        <v>-4468</v>
      </c>
      <c r="AR15" s="10">
        <f t="shared" si="22"/>
        <v>20171</v>
      </c>
      <c r="AS15" s="10">
        <f t="shared" ref="AS15" si="33">AS9-AS14</f>
        <v>69152</v>
      </c>
      <c r="AT15" s="10">
        <f t="shared" si="22"/>
        <v>-624</v>
      </c>
      <c r="AU15" s="10">
        <f t="shared" si="22"/>
        <v>6526</v>
      </c>
      <c r="AV15" s="10">
        <f t="shared" si="22"/>
        <v>-883</v>
      </c>
      <c r="AW15" s="10">
        <f t="shared" si="22"/>
        <v>-7475</v>
      </c>
      <c r="AX15" s="10">
        <f t="shared" si="22"/>
        <v>18908</v>
      </c>
      <c r="AY15" s="10">
        <f t="shared" ref="AY15" si="34">AY9-AY14</f>
        <v>71537</v>
      </c>
      <c r="AZ15" s="10">
        <f t="shared" si="22"/>
        <v>-9804</v>
      </c>
      <c r="BA15" s="10">
        <f t="shared" si="22"/>
        <v>-158198</v>
      </c>
      <c r="BB15" s="10">
        <f t="shared" si="22"/>
        <v>15701</v>
      </c>
      <c r="BC15" s="10">
        <f t="shared" ref="BC15" si="35">BC9-BC14</f>
        <v>45656</v>
      </c>
      <c r="BD15" s="10">
        <f t="shared" si="22"/>
        <v>-95936</v>
      </c>
      <c r="BE15" s="10">
        <f t="shared" si="22"/>
        <v>-147125</v>
      </c>
      <c r="BF15" s="10">
        <f t="shared" ref="BF15:BG15" si="36">BF9-BF14</f>
        <v>-99583</v>
      </c>
      <c r="BG15" s="10">
        <f t="shared" si="36"/>
        <v>-302525</v>
      </c>
      <c r="BH15" s="10">
        <f t="shared" si="22"/>
        <v>-93721</v>
      </c>
      <c r="BI15" s="10">
        <f t="shared" ref="BI15" si="37">BI9-BI14</f>
        <v>-167789</v>
      </c>
      <c r="BJ15" s="10">
        <f t="shared" si="22"/>
        <v>1946</v>
      </c>
      <c r="BK15" s="10">
        <f t="shared" ref="BK15" si="38">BK9-BK14</f>
        <v>11132</v>
      </c>
      <c r="BL15" s="63">
        <f t="shared" si="0"/>
        <v>-80146.799999999988</v>
      </c>
      <c r="BM15" s="63">
        <f t="shared" si="1"/>
        <v>-290482.30999999988</v>
      </c>
    </row>
  </sheetData>
  <mergeCells count="32">
    <mergeCell ref="BD3:BE3"/>
    <mergeCell ref="BL3:BM3"/>
    <mergeCell ref="BJ3:BK3"/>
    <mergeCell ref="BH3:BI3"/>
    <mergeCell ref="BF3:BG3"/>
    <mergeCell ref="AN3:AO3"/>
    <mergeCell ref="AJ3:AK3"/>
    <mergeCell ref="AH3:AI3"/>
    <mergeCell ref="AF3:AG3"/>
    <mergeCell ref="AL3:AM3"/>
    <mergeCell ref="BB3:BC3"/>
    <mergeCell ref="AZ3:BA3"/>
    <mergeCell ref="AX3:AY3"/>
    <mergeCell ref="AV3:AW3"/>
    <mergeCell ref="AP3:AQ3"/>
    <mergeCell ref="AR3:AS3"/>
    <mergeCell ref="AT3:AU3"/>
    <mergeCell ref="H3:I3"/>
    <mergeCell ref="F3:G3"/>
    <mergeCell ref="D3:E3"/>
    <mergeCell ref="B3:C3"/>
    <mergeCell ref="AD3:AE3"/>
    <mergeCell ref="Z3:AA3"/>
    <mergeCell ref="X3:Y3"/>
    <mergeCell ref="V3:W3"/>
    <mergeCell ref="P3:Q3"/>
    <mergeCell ref="AB3:AC3"/>
    <mergeCell ref="L3:M3"/>
    <mergeCell ref="N3:O3"/>
    <mergeCell ref="J3:K3"/>
    <mergeCell ref="T3:U3"/>
    <mergeCell ref="R3:S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" sqref="C1"/>
    </sheetView>
  </sheetViews>
  <sheetFormatPr defaultRowHeight="15" x14ac:dyDescent="0.25"/>
  <cols>
    <col min="1" max="1" width="42.28515625" style="43" customWidth="1"/>
    <col min="2" max="94" width="14.28515625" style="43" customWidth="1"/>
    <col min="95" max="16384" width="9.140625" style="43"/>
  </cols>
  <sheetData>
    <row r="1" spans="1:94" ht="18.75" x14ac:dyDescent="0.3">
      <c r="A1" s="42" t="s">
        <v>308</v>
      </c>
    </row>
    <row r="2" spans="1:94" x14ac:dyDescent="0.25">
      <c r="A2" s="44" t="s">
        <v>98</v>
      </c>
    </row>
    <row r="3" spans="1:94" x14ac:dyDescent="0.25">
      <c r="A3" s="159" t="s">
        <v>0</v>
      </c>
      <c r="B3" s="160" t="s">
        <v>1</v>
      </c>
      <c r="C3" s="160"/>
      <c r="D3" s="160"/>
      <c r="E3" s="160" t="s">
        <v>234</v>
      </c>
      <c r="F3" s="160"/>
      <c r="G3" s="160"/>
      <c r="H3" s="160" t="s">
        <v>2</v>
      </c>
      <c r="I3" s="160"/>
      <c r="J3" s="160"/>
      <c r="K3" s="160" t="s">
        <v>3</v>
      </c>
      <c r="L3" s="160"/>
      <c r="M3" s="160"/>
      <c r="N3" s="160" t="s">
        <v>243</v>
      </c>
      <c r="O3" s="160"/>
      <c r="P3" s="160"/>
      <c r="Q3" s="161" t="s">
        <v>235</v>
      </c>
      <c r="R3" s="162"/>
      <c r="S3" s="163"/>
      <c r="T3" s="161" t="s">
        <v>5</v>
      </c>
      <c r="U3" s="162"/>
      <c r="V3" s="163"/>
      <c r="W3" s="161" t="s">
        <v>4</v>
      </c>
      <c r="X3" s="162"/>
      <c r="Y3" s="163"/>
      <c r="Z3" s="161" t="s">
        <v>6</v>
      </c>
      <c r="AA3" s="162"/>
      <c r="AB3" s="163"/>
      <c r="AC3" s="161" t="s">
        <v>246</v>
      </c>
      <c r="AD3" s="162"/>
      <c r="AE3" s="163"/>
      <c r="AF3" s="161" t="s">
        <v>7</v>
      </c>
      <c r="AG3" s="162"/>
      <c r="AH3" s="163"/>
      <c r="AI3" s="161" t="s">
        <v>8</v>
      </c>
      <c r="AJ3" s="162"/>
      <c r="AK3" s="163"/>
      <c r="AL3" s="161" t="s">
        <v>9</v>
      </c>
      <c r="AM3" s="162"/>
      <c r="AN3" s="163"/>
      <c r="AO3" s="161" t="s">
        <v>242</v>
      </c>
      <c r="AP3" s="162"/>
      <c r="AQ3" s="163"/>
      <c r="AR3" s="161" t="s">
        <v>10</v>
      </c>
      <c r="AS3" s="162"/>
      <c r="AT3" s="163"/>
      <c r="AU3" s="161" t="s">
        <v>11</v>
      </c>
      <c r="AV3" s="162"/>
      <c r="AW3" s="163"/>
      <c r="AX3" s="161" t="s">
        <v>236</v>
      </c>
      <c r="AY3" s="162"/>
      <c r="AZ3" s="163"/>
      <c r="BA3" s="161" t="s">
        <v>245</v>
      </c>
      <c r="BB3" s="162"/>
      <c r="BC3" s="163"/>
      <c r="BD3" s="161" t="s">
        <v>12</v>
      </c>
      <c r="BE3" s="162"/>
      <c r="BF3" s="163"/>
      <c r="BG3" s="161" t="s">
        <v>237</v>
      </c>
      <c r="BH3" s="162"/>
      <c r="BI3" s="163"/>
      <c r="BJ3" s="161" t="s">
        <v>238</v>
      </c>
      <c r="BK3" s="162"/>
      <c r="BL3" s="163"/>
      <c r="BM3" s="161" t="s">
        <v>241</v>
      </c>
      <c r="BN3" s="162"/>
      <c r="BO3" s="163"/>
      <c r="BP3" s="160" t="s">
        <v>13</v>
      </c>
      <c r="BQ3" s="160"/>
      <c r="BR3" s="160"/>
      <c r="BS3" s="160" t="s">
        <v>14</v>
      </c>
      <c r="BT3" s="160"/>
      <c r="BU3" s="160"/>
      <c r="BV3" s="160" t="s">
        <v>15</v>
      </c>
      <c r="BW3" s="160"/>
      <c r="BX3" s="160"/>
      <c r="BY3" s="160" t="s">
        <v>16</v>
      </c>
      <c r="BZ3" s="160"/>
      <c r="CA3" s="160"/>
      <c r="CB3" s="160" t="s">
        <v>17</v>
      </c>
      <c r="CC3" s="160"/>
      <c r="CD3" s="160"/>
      <c r="CE3" s="160" t="s">
        <v>239</v>
      </c>
      <c r="CF3" s="160"/>
      <c r="CG3" s="160"/>
      <c r="CH3" s="160" t="s">
        <v>240</v>
      </c>
      <c r="CI3" s="160"/>
      <c r="CJ3" s="160"/>
      <c r="CK3" s="160" t="s">
        <v>18</v>
      </c>
      <c r="CL3" s="160"/>
      <c r="CM3" s="160"/>
      <c r="CN3" s="160" t="s">
        <v>19</v>
      </c>
      <c r="CO3" s="160"/>
      <c r="CP3" s="160"/>
    </row>
    <row r="4" spans="1:94" x14ac:dyDescent="0.25">
      <c r="A4" s="159"/>
      <c r="B4" s="83" t="s">
        <v>152</v>
      </c>
      <c r="C4" s="83" t="s">
        <v>153</v>
      </c>
      <c r="D4" s="83" t="s">
        <v>139</v>
      </c>
      <c r="E4" s="83" t="s">
        <v>152</v>
      </c>
      <c r="F4" s="83" t="s">
        <v>153</v>
      </c>
      <c r="G4" s="83" t="s">
        <v>139</v>
      </c>
      <c r="H4" s="83" t="s">
        <v>152</v>
      </c>
      <c r="I4" s="83" t="s">
        <v>153</v>
      </c>
      <c r="J4" s="83" t="s">
        <v>139</v>
      </c>
      <c r="K4" s="83" t="s">
        <v>152</v>
      </c>
      <c r="L4" s="83" t="s">
        <v>153</v>
      </c>
      <c r="M4" s="83" t="s">
        <v>139</v>
      </c>
      <c r="N4" s="83" t="s">
        <v>152</v>
      </c>
      <c r="O4" s="83" t="s">
        <v>153</v>
      </c>
      <c r="P4" s="83" t="s">
        <v>139</v>
      </c>
      <c r="Q4" s="83" t="s">
        <v>152</v>
      </c>
      <c r="R4" s="83" t="s">
        <v>153</v>
      </c>
      <c r="S4" s="83" t="s">
        <v>139</v>
      </c>
      <c r="T4" s="83" t="s">
        <v>152</v>
      </c>
      <c r="U4" s="83" t="s">
        <v>153</v>
      </c>
      <c r="V4" s="83" t="s">
        <v>139</v>
      </c>
      <c r="W4" s="83" t="s">
        <v>152</v>
      </c>
      <c r="X4" s="83" t="s">
        <v>153</v>
      </c>
      <c r="Y4" s="83" t="s">
        <v>139</v>
      </c>
      <c r="Z4" s="83" t="s">
        <v>152</v>
      </c>
      <c r="AA4" s="83" t="s">
        <v>153</v>
      </c>
      <c r="AB4" s="83" t="s">
        <v>139</v>
      </c>
      <c r="AC4" s="83" t="s">
        <v>152</v>
      </c>
      <c r="AD4" s="83" t="s">
        <v>153</v>
      </c>
      <c r="AE4" s="83" t="s">
        <v>139</v>
      </c>
      <c r="AF4" s="83" t="s">
        <v>152</v>
      </c>
      <c r="AG4" s="83" t="s">
        <v>153</v>
      </c>
      <c r="AH4" s="83" t="s">
        <v>139</v>
      </c>
      <c r="AI4" s="83" t="s">
        <v>152</v>
      </c>
      <c r="AJ4" s="83" t="s">
        <v>153</v>
      </c>
      <c r="AK4" s="83" t="s">
        <v>139</v>
      </c>
      <c r="AL4" s="83" t="s">
        <v>152</v>
      </c>
      <c r="AM4" s="83" t="s">
        <v>153</v>
      </c>
      <c r="AN4" s="83" t="s">
        <v>139</v>
      </c>
      <c r="AO4" s="83" t="s">
        <v>152</v>
      </c>
      <c r="AP4" s="83" t="s">
        <v>153</v>
      </c>
      <c r="AQ4" s="83" t="s">
        <v>139</v>
      </c>
      <c r="AR4" s="83" t="s">
        <v>152</v>
      </c>
      <c r="AS4" s="83" t="s">
        <v>153</v>
      </c>
      <c r="AT4" s="83" t="s">
        <v>139</v>
      </c>
      <c r="AU4" s="83" t="s">
        <v>152</v>
      </c>
      <c r="AV4" s="83" t="s">
        <v>153</v>
      </c>
      <c r="AW4" s="83" t="s">
        <v>139</v>
      </c>
      <c r="AX4" s="83" t="s">
        <v>152</v>
      </c>
      <c r="AY4" s="83" t="s">
        <v>153</v>
      </c>
      <c r="AZ4" s="83" t="s">
        <v>139</v>
      </c>
      <c r="BA4" s="83" t="s">
        <v>152</v>
      </c>
      <c r="BB4" s="83" t="s">
        <v>153</v>
      </c>
      <c r="BC4" s="83" t="s">
        <v>139</v>
      </c>
      <c r="BD4" s="83" t="s">
        <v>152</v>
      </c>
      <c r="BE4" s="83" t="s">
        <v>153</v>
      </c>
      <c r="BF4" s="83" t="s">
        <v>139</v>
      </c>
      <c r="BG4" s="83" t="s">
        <v>152</v>
      </c>
      <c r="BH4" s="83" t="s">
        <v>153</v>
      </c>
      <c r="BI4" s="83" t="s">
        <v>139</v>
      </c>
      <c r="BJ4" s="83" t="s">
        <v>152</v>
      </c>
      <c r="BK4" s="83" t="s">
        <v>153</v>
      </c>
      <c r="BL4" s="83" t="s">
        <v>139</v>
      </c>
      <c r="BM4" s="83" t="s">
        <v>152</v>
      </c>
      <c r="BN4" s="83" t="s">
        <v>153</v>
      </c>
      <c r="BO4" s="83" t="s">
        <v>139</v>
      </c>
      <c r="BP4" s="83" t="s">
        <v>152</v>
      </c>
      <c r="BQ4" s="83" t="s">
        <v>153</v>
      </c>
      <c r="BR4" s="83" t="s">
        <v>139</v>
      </c>
      <c r="BS4" s="83" t="s">
        <v>152</v>
      </c>
      <c r="BT4" s="83" t="s">
        <v>153</v>
      </c>
      <c r="BU4" s="83" t="s">
        <v>139</v>
      </c>
      <c r="BV4" s="83" t="s">
        <v>152</v>
      </c>
      <c r="BW4" s="83" t="s">
        <v>153</v>
      </c>
      <c r="BX4" s="83" t="s">
        <v>139</v>
      </c>
      <c r="BY4" s="83" t="s">
        <v>152</v>
      </c>
      <c r="BZ4" s="83" t="s">
        <v>153</v>
      </c>
      <c r="CA4" s="83" t="s">
        <v>139</v>
      </c>
      <c r="CB4" s="83" t="s">
        <v>152</v>
      </c>
      <c r="CC4" s="83" t="s">
        <v>153</v>
      </c>
      <c r="CD4" s="83" t="s">
        <v>139</v>
      </c>
      <c r="CE4" s="83" t="s">
        <v>152</v>
      </c>
      <c r="CF4" s="83" t="s">
        <v>153</v>
      </c>
      <c r="CG4" s="83" t="s">
        <v>139</v>
      </c>
      <c r="CH4" s="83" t="s">
        <v>152</v>
      </c>
      <c r="CI4" s="83" t="s">
        <v>153</v>
      </c>
      <c r="CJ4" s="83" t="s">
        <v>139</v>
      </c>
      <c r="CK4" s="83" t="s">
        <v>152</v>
      </c>
      <c r="CL4" s="83" t="s">
        <v>153</v>
      </c>
      <c r="CM4" s="83" t="s">
        <v>139</v>
      </c>
      <c r="CN4" s="83" t="s">
        <v>152</v>
      </c>
      <c r="CO4" s="83" t="s">
        <v>153</v>
      </c>
      <c r="CP4" s="83" t="s">
        <v>139</v>
      </c>
    </row>
    <row r="5" spans="1:94" x14ac:dyDescent="0.25">
      <c r="A5" s="45" t="s">
        <v>154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</row>
    <row r="6" spans="1:94" ht="30" x14ac:dyDescent="0.25">
      <c r="A6" s="47" t="s">
        <v>155</v>
      </c>
      <c r="B6" s="46">
        <v>12501</v>
      </c>
      <c r="C6" s="46">
        <v>33239</v>
      </c>
      <c r="D6" s="46">
        <f t="shared" ref="D6:D19" si="0">B6+C6</f>
        <v>45740</v>
      </c>
      <c r="E6" s="46">
        <v>12586</v>
      </c>
      <c r="F6" s="46">
        <v>39610</v>
      </c>
      <c r="G6" s="46">
        <f>F6+E6</f>
        <v>52196</v>
      </c>
      <c r="H6" s="46">
        <v>67008</v>
      </c>
      <c r="I6" s="46">
        <v>207964</v>
      </c>
      <c r="J6" s="46">
        <f t="shared" ref="J6:J19" si="1">I6+H6</f>
        <v>274972</v>
      </c>
      <c r="K6" s="46">
        <v>274764</v>
      </c>
      <c r="L6" s="46">
        <v>947019</v>
      </c>
      <c r="M6" s="46">
        <f>L6+K6</f>
        <v>1221783</v>
      </c>
      <c r="N6" s="46">
        <v>23098</v>
      </c>
      <c r="O6" s="46">
        <v>70600</v>
      </c>
      <c r="P6" s="46">
        <f>O6+N6</f>
        <v>93698</v>
      </c>
      <c r="Q6" s="46">
        <v>106479</v>
      </c>
      <c r="R6" s="46">
        <v>718858</v>
      </c>
      <c r="S6" s="46">
        <f>R6+Q6</f>
        <v>825337</v>
      </c>
      <c r="T6" s="46">
        <v>245447.86</v>
      </c>
      <c r="U6" s="46">
        <v>299991.84000000003</v>
      </c>
      <c r="V6" s="46">
        <f>U6+T6</f>
        <v>545439.69999999995</v>
      </c>
      <c r="W6" s="46">
        <v>1462</v>
      </c>
      <c r="X6" s="46">
        <v>8384</v>
      </c>
      <c r="Y6" s="46">
        <f>X6+W6</f>
        <v>9846</v>
      </c>
      <c r="Z6" s="46">
        <v>61889.58</v>
      </c>
      <c r="AA6" s="46">
        <v>226245.82</v>
      </c>
      <c r="AB6" s="46">
        <f>AA6+Z6</f>
        <v>288135.40000000002</v>
      </c>
      <c r="AC6" s="46">
        <v>82869</v>
      </c>
      <c r="AD6" s="46">
        <v>381702</v>
      </c>
      <c r="AE6" s="46">
        <f>AD6+AC6</f>
        <v>464571</v>
      </c>
      <c r="AF6" s="46">
        <v>80570</v>
      </c>
      <c r="AG6" s="46">
        <v>317837</v>
      </c>
      <c r="AH6" s="46">
        <f>AG6+AF6</f>
        <v>398407</v>
      </c>
      <c r="AI6" s="46">
        <v>356758</v>
      </c>
      <c r="AJ6" s="46">
        <v>1229921</v>
      </c>
      <c r="AK6" s="46">
        <f>AJ6+AI6</f>
        <v>1586679</v>
      </c>
      <c r="AL6" s="46">
        <v>102670</v>
      </c>
      <c r="AM6" s="46">
        <v>438158</v>
      </c>
      <c r="AN6" s="46">
        <f>AM6+AL6</f>
        <v>540828</v>
      </c>
      <c r="AO6" s="46">
        <v>15588</v>
      </c>
      <c r="AP6" s="46">
        <v>77766</v>
      </c>
      <c r="AQ6" s="46">
        <f>AO6+AP6</f>
        <v>93354</v>
      </c>
      <c r="AR6" s="46">
        <v>17364</v>
      </c>
      <c r="AS6" s="46">
        <v>49118</v>
      </c>
      <c r="AT6" s="46">
        <f>AS6+AR6</f>
        <v>66482</v>
      </c>
      <c r="AU6" s="46">
        <v>20705</v>
      </c>
      <c r="AV6" s="46">
        <v>144185</v>
      </c>
      <c r="AW6" s="46">
        <f>AV6+AU6</f>
        <v>164890</v>
      </c>
      <c r="AX6" s="46">
        <v>7346.7</v>
      </c>
      <c r="AY6" s="46">
        <v>12478.42</v>
      </c>
      <c r="AZ6" s="46">
        <f>AY6+AX6</f>
        <v>19825.12</v>
      </c>
      <c r="BA6" s="46">
        <v>22746</v>
      </c>
      <c r="BB6" s="46">
        <v>31229</v>
      </c>
      <c r="BC6" s="46">
        <f>BB6+BA6</f>
        <v>53975</v>
      </c>
      <c r="BD6" s="46">
        <v>102953.52</v>
      </c>
      <c r="BE6" s="46">
        <v>980456.49</v>
      </c>
      <c r="BF6" s="46">
        <f>BE6+BD6</f>
        <v>1083410.01</v>
      </c>
      <c r="BG6" s="46"/>
      <c r="BH6" s="46"/>
      <c r="BI6" s="46">
        <f>BH6+BG6</f>
        <v>0</v>
      </c>
      <c r="BJ6" s="46">
        <v>7299</v>
      </c>
      <c r="BK6" s="46">
        <v>22105</v>
      </c>
      <c r="BL6" s="46">
        <f t="shared" ref="BL6:BL19" si="2">BK6+BJ6</f>
        <v>29404</v>
      </c>
      <c r="BM6" s="46">
        <v>78342</v>
      </c>
      <c r="BN6" s="46">
        <v>319250</v>
      </c>
      <c r="BO6" s="46">
        <f>BN6+BM6</f>
        <v>397592</v>
      </c>
      <c r="BP6" s="46">
        <v>45067</v>
      </c>
      <c r="BQ6" s="46">
        <v>219601</v>
      </c>
      <c r="BR6" s="46">
        <f>BQ6+BP6</f>
        <v>264668</v>
      </c>
      <c r="BS6" s="46">
        <v>62233</v>
      </c>
      <c r="BT6" s="46">
        <v>192763</v>
      </c>
      <c r="BU6" s="46">
        <f>BT6+BS6</f>
        <v>254996</v>
      </c>
      <c r="BV6" s="46">
        <v>76634</v>
      </c>
      <c r="BW6" s="46">
        <v>286983</v>
      </c>
      <c r="BX6" s="46">
        <f t="shared" ref="BX6:BX19" si="3">BW6+BV6</f>
        <v>363617</v>
      </c>
      <c r="BY6" s="46">
        <v>158350</v>
      </c>
      <c r="BZ6" s="46">
        <v>242413</v>
      </c>
      <c r="CA6" s="46">
        <f>BZ6+BY6</f>
        <v>400763</v>
      </c>
      <c r="CB6" s="46">
        <v>127922</v>
      </c>
      <c r="CC6" s="46">
        <v>664619</v>
      </c>
      <c r="CD6" s="46">
        <f>CC6+CB6</f>
        <v>792541</v>
      </c>
      <c r="CE6" s="46">
        <v>959058</v>
      </c>
      <c r="CF6" s="46">
        <v>2083685</v>
      </c>
      <c r="CG6" s="46">
        <f>CF6+CE6</f>
        <v>3042743</v>
      </c>
      <c r="CH6" s="46">
        <v>30195</v>
      </c>
      <c r="CI6" s="46">
        <v>1202271</v>
      </c>
      <c r="CJ6" s="46">
        <f t="shared" ref="CJ6:CJ19" si="4">CI6+CH6</f>
        <v>1232466</v>
      </c>
      <c r="CK6" s="46">
        <v>106624</v>
      </c>
      <c r="CL6" s="46">
        <v>1528716</v>
      </c>
      <c r="CM6" s="46">
        <f>CL6+CK6</f>
        <v>1635340</v>
      </c>
      <c r="CN6" s="46">
        <v>31189</v>
      </c>
      <c r="CO6" s="46">
        <v>122186</v>
      </c>
      <c r="CP6" s="46">
        <f t="shared" ref="CP6:CP19" si="5">CO6+CN6</f>
        <v>153375</v>
      </c>
    </row>
    <row r="7" spans="1:94" ht="15" customHeight="1" x14ac:dyDescent="0.25">
      <c r="A7" s="47" t="s">
        <v>156</v>
      </c>
      <c r="B7" s="46"/>
      <c r="C7" s="46"/>
      <c r="D7" s="46">
        <f t="shared" si="0"/>
        <v>0</v>
      </c>
      <c r="E7" s="46">
        <v>13114</v>
      </c>
      <c r="F7" s="46">
        <v>42506</v>
      </c>
      <c r="G7" s="46">
        <f t="shared" ref="G7:G19" si="6">F7+E7</f>
        <v>55620</v>
      </c>
      <c r="H7" s="46">
        <v>107773</v>
      </c>
      <c r="I7" s="46">
        <v>334482</v>
      </c>
      <c r="J7" s="46">
        <f t="shared" si="1"/>
        <v>442255</v>
      </c>
      <c r="K7" s="46">
        <v>820</v>
      </c>
      <c r="L7" s="46">
        <v>495</v>
      </c>
      <c r="M7" s="46">
        <f t="shared" ref="M7:M19" si="7">L7+K7</f>
        <v>1315</v>
      </c>
      <c r="N7" s="46">
        <v>1528</v>
      </c>
      <c r="O7" s="46">
        <v>8544</v>
      </c>
      <c r="P7" s="46">
        <f t="shared" ref="P7:P19" si="8">O7+N7</f>
        <v>10072</v>
      </c>
      <c r="Q7" s="46"/>
      <c r="R7" s="46"/>
      <c r="S7" s="46">
        <f t="shared" ref="S7:S19" si="9">R7+Q7</f>
        <v>0</v>
      </c>
      <c r="T7" s="46">
        <v>20980.58</v>
      </c>
      <c r="U7" s="46">
        <v>25642.93</v>
      </c>
      <c r="V7" s="46">
        <f t="shared" ref="V7:V19" si="10">U7+T7</f>
        <v>46623.51</v>
      </c>
      <c r="W7" s="46">
        <v>1535</v>
      </c>
      <c r="X7" s="46">
        <v>5343</v>
      </c>
      <c r="Y7" s="46">
        <f t="shared" ref="Y7:Y19" si="11">X7+W7</f>
        <v>6878</v>
      </c>
      <c r="Z7" s="46"/>
      <c r="AA7" s="46"/>
      <c r="AB7" s="46">
        <f t="shared" ref="AB7:AB19" si="12">AA7+Z7</f>
        <v>0</v>
      </c>
      <c r="AC7" s="46"/>
      <c r="AD7" s="46">
        <v>23105</v>
      </c>
      <c r="AE7" s="46">
        <f t="shared" ref="AE7:AE19" si="13">AD7+AC7</f>
        <v>23105</v>
      </c>
      <c r="AF7" s="46">
        <v>70049</v>
      </c>
      <c r="AG7" s="46">
        <v>276330</v>
      </c>
      <c r="AH7" s="46">
        <f t="shared" ref="AH7:AH19" si="14">AG7+AF7</f>
        <v>346379</v>
      </c>
      <c r="AI7" s="46"/>
      <c r="AJ7" s="46"/>
      <c r="AK7" s="46">
        <f t="shared" ref="AK7:AK19" si="15">AJ7+AI7</f>
        <v>0</v>
      </c>
      <c r="AL7" s="46">
        <v>1211</v>
      </c>
      <c r="AM7" s="46">
        <v>5169</v>
      </c>
      <c r="AN7" s="46">
        <f t="shared" ref="AN7:AN19" si="16">AM7+AL7</f>
        <v>6380</v>
      </c>
      <c r="AO7" s="46"/>
      <c r="AP7" s="46"/>
      <c r="AQ7" s="46">
        <f t="shared" ref="AQ7:AQ18" si="17">AO7+AP7</f>
        <v>0</v>
      </c>
      <c r="AR7" s="46">
        <v>16573</v>
      </c>
      <c r="AS7" s="46">
        <v>46880</v>
      </c>
      <c r="AT7" s="46">
        <f t="shared" ref="AT7:AT19" si="18">AS7+AR7</f>
        <v>63453</v>
      </c>
      <c r="AU7" s="46">
        <v>6853</v>
      </c>
      <c r="AV7" s="46">
        <v>47726</v>
      </c>
      <c r="AW7" s="46">
        <f t="shared" ref="AW7:AW19" si="19">AV7+AU7</f>
        <v>54579</v>
      </c>
      <c r="AX7" s="46">
        <v>7934.59</v>
      </c>
      <c r="AY7" s="46">
        <v>14076.08</v>
      </c>
      <c r="AZ7" s="46">
        <f t="shared" ref="AZ7:AZ19" si="20">AY7+AX7</f>
        <v>22010.67</v>
      </c>
      <c r="BA7" s="46">
        <v>10451</v>
      </c>
      <c r="BB7" s="46">
        <v>8565</v>
      </c>
      <c r="BC7" s="46">
        <f t="shared" ref="BC7:BC19" si="21">BB7+BA7</f>
        <v>19016</v>
      </c>
      <c r="BD7" s="46">
        <v>264.48</v>
      </c>
      <c r="BE7" s="46">
        <v>2518.77</v>
      </c>
      <c r="BF7" s="46">
        <f t="shared" ref="BF7:BF19" si="22">BE7+BD7</f>
        <v>2783.25</v>
      </c>
      <c r="BG7" s="46"/>
      <c r="BH7" s="46">
        <v>6782</v>
      </c>
      <c r="BI7" s="46">
        <f t="shared" ref="BI7:BI19" si="23">BH7+BG7</f>
        <v>6782</v>
      </c>
      <c r="BJ7" s="46"/>
      <c r="BK7" s="46"/>
      <c r="BL7" s="46">
        <f t="shared" si="2"/>
        <v>0</v>
      </c>
      <c r="BM7" s="46">
        <v>52094</v>
      </c>
      <c r="BN7" s="46">
        <v>212286</v>
      </c>
      <c r="BO7" s="46">
        <f t="shared" ref="BO7:BO19" si="24">BN7+BM7</f>
        <v>264380</v>
      </c>
      <c r="BP7" s="46"/>
      <c r="BQ7" s="46"/>
      <c r="BR7" s="46">
        <f t="shared" ref="BR7:BR19" si="25">BQ7+BP7</f>
        <v>0</v>
      </c>
      <c r="BS7" s="46">
        <v>9007</v>
      </c>
      <c r="BT7" s="46">
        <v>108543</v>
      </c>
      <c r="BU7" s="46">
        <f t="shared" ref="BU7:BU19" si="26">BT7+BS7</f>
        <v>117550</v>
      </c>
      <c r="BV7" s="46"/>
      <c r="BW7" s="46"/>
      <c r="BX7" s="46">
        <f t="shared" si="3"/>
        <v>0</v>
      </c>
      <c r="BY7" s="46">
        <v>124947</v>
      </c>
      <c r="BZ7" s="46">
        <v>191277</v>
      </c>
      <c r="CA7" s="46">
        <f t="shared" ref="CA7:CA19" si="27">BZ7+BY7</f>
        <v>316224</v>
      </c>
      <c r="CB7" s="46"/>
      <c r="CC7" s="46"/>
      <c r="CD7" s="46">
        <f t="shared" ref="CD7:CD19" si="28">CC7+CB7</f>
        <v>0</v>
      </c>
      <c r="CE7" s="46"/>
      <c r="CF7" s="46"/>
      <c r="CG7" s="46">
        <f t="shared" ref="CG7:CG19" si="29">CF7+CE7</f>
        <v>0</v>
      </c>
      <c r="CH7" s="46">
        <v>162</v>
      </c>
      <c r="CI7" s="46">
        <v>6432</v>
      </c>
      <c r="CJ7" s="46">
        <f t="shared" si="4"/>
        <v>6594</v>
      </c>
      <c r="CK7" s="46"/>
      <c r="CL7" s="46"/>
      <c r="CM7" s="46">
        <f t="shared" ref="CM7:CM19" si="30">CL7+CK7</f>
        <v>0</v>
      </c>
      <c r="CN7" s="46">
        <v>517</v>
      </c>
      <c r="CO7" s="46">
        <v>2024</v>
      </c>
      <c r="CP7" s="46">
        <f t="shared" si="5"/>
        <v>2541</v>
      </c>
    </row>
    <row r="8" spans="1:94" ht="15" customHeight="1" x14ac:dyDescent="0.25">
      <c r="A8" s="47" t="s">
        <v>157</v>
      </c>
      <c r="B8" s="46"/>
      <c r="C8" s="46"/>
      <c r="D8" s="46">
        <f t="shared" si="0"/>
        <v>0</v>
      </c>
      <c r="E8" s="46"/>
      <c r="F8" s="46"/>
      <c r="G8" s="46">
        <f t="shared" si="6"/>
        <v>0</v>
      </c>
      <c r="H8" s="46"/>
      <c r="I8" s="46"/>
      <c r="J8" s="46">
        <f t="shared" si="1"/>
        <v>0</v>
      </c>
      <c r="K8" s="46"/>
      <c r="L8" s="46"/>
      <c r="M8" s="46">
        <f t="shared" si="7"/>
        <v>0</v>
      </c>
      <c r="N8" s="46"/>
      <c r="O8" s="46"/>
      <c r="P8" s="46">
        <f t="shared" si="8"/>
        <v>0</v>
      </c>
      <c r="Q8" s="46"/>
      <c r="R8" s="46"/>
      <c r="S8" s="46">
        <f t="shared" si="9"/>
        <v>0</v>
      </c>
      <c r="T8" s="46"/>
      <c r="U8" s="46"/>
      <c r="V8" s="46">
        <f t="shared" si="10"/>
        <v>0</v>
      </c>
      <c r="W8" s="46"/>
      <c r="X8" s="46"/>
      <c r="Y8" s="46">
        <f t="shared" si="11"/>
        <v>0</v>
      </c>
      <c r="Z8" s="46"/>
      <c r="AA8" s="46"/>
      <c r="AB8" s="46">
        <f t="shared" si="12"/>
        <v>0</v>
      </c>
      <c r="AC8" s="46"/>
      <c r="AD8" s="46"/>
      <c r="AE8" s="46">
        <f t="shared" si="13"/>
        <v>0</v>
      </c>
      <c r="AF8" s="46"/>
      <c r="AG8" s="46"/>
      <c r="AH8" s="46">
        <f t="shared" si="14"/>
        <v>0</v>
      </c>
      <c r="AI8" s="46"/>
      <c r="AJ8" s="46"/>
      <c r="AK8" s="46">
        <f t="shared" si="15"/>
        <v>0</v>
      </c>
      <c r="AL8" s="46"/>
      <c r="AM8" s="46"/>
      <c r="AN8" s="46">
        <f t="shared" si="16"/>
        <v>0</v>
      </c>
      <c r="AO8" s="46"/>
      <c r="AP8" s="46"/>
      <c r="AQ8" s="46">
        <f t="shared" si="17"/>
        <v>0</v>
      </c>
      <c r="AR8" s="46"/>
      <c r="AS8" s="46"/>
      <c r="AT8" s="46">
        <f t="shared" si="18"/>
        <v>0</v>
      </c>
      <c r="AU8" s="46"/>
      <c r="AV8" s="46"/>
      <c r="AW8" s="46">
        <f t="shared" si="19"/>
        <v>0</v>
      </c>
      <c r="AX8" s="46"/>
      <c r="AY8" s="46"/>
      <c r="AZ8" s="46">
        <f t="shared" si="20"/>
        <v>0</v>
      </c>
      <c r="BA8" s="46"/>
      <c r="BB8" s="46"/>
      <c r="BC8" s="46">
        <f t="shared" si="21"/>
        <v>0</v>
      </c>
      <c r="BD8" s="46"/>
      <c r="BE8" s="46"/>
      <c r="BF8" s="46">
        <f t="shared" si="22"/>
        <v>0</v>
      </c>
      <c r="BG8" s="46"/>
      <c r="BH8" s="46"/>
      <c r="BI8" s="46">
        <f t="shared" si="23"/>
        <v>0</v>
      </c>
      <c r="BJ8" s="46"/>
      <c r="BK8" s="46"/>
      <c r="BL8" s="46">
        <f t="shared" si="2"/>
        <v>0</v>
      </c>
      <c r="BM8" s="46"/>
      <c r="BN8" s="46"/>
      <c r="BO8" s="46">
        <f t="shared" si="24"/>
        <v>0</v>
      </c>
      <c r="BP8" s="46"/>
      <c r="BQ8" s="46"/>
      <c r="BR8" s="46">
        <f t="shared" si="25"/>
        <v>0</v>
      </c>
      <c r="BS8" s="46"/>
      <c r="BT8" s="46"/>
      <c r="BU8" s="46">
        <f t="shared" si="26"/>
        <v>0</v>
      </c>
      <c r="BV8" s="46"/>
      <c r="BW8" s="46"/>
      <c r="BX8" s="46">
        <f t="shared" si="3"/>
        <v>0</v>
      </c>
      <c r="BY8" s="46"/>
      <c r="BZ8" s="46"/>
      <c r="CA8" s="46">
        <f t="shared" si="27"/>
        <v>0</v>
      </c>
      <c r="CB8" s="46"/>
      <c r="CC8" s="46"/>
      <c r="CD8" s="46">
        <f t="shared" si="28"/>
        <v>0</v>
      </c>
      <c r="CE8" s="46"/>
      <c r="CF8" s="46"/>
      <c r="CG8" s="46">
        <f t="shared" si="29"/>
        <v>0</v>
      </c>
      <c r="CH8" s="46"/>
      <c r="CI8" s="46"/>
      <c r="CJ8" s="46">
        <f t="shared" si="4"/>
        <v>0</v>
      </c>
      <c r="CK8" s="46"/>
      <c r="CL8" s="46"/>
      <c r="CM8" s="46">
        <f t="shared" si="30"/>
        <v>0</v>
      </c>
      <c r="CN8" s="46"/>
      <c r="CO8" s="46"/>
      <c r="CP8" s="46">
        <f t="shared" si="5"/>
        <v>0</v>
      </c>
    </row>
    <row r="9" spans="1:94" ht="15" customHeight="1" x14ac:dyDescent="0.25">
      <c r="A9" s="47" t="s">
        <v>158</v>
      </c>
      <c r="B9" s="46"/>
      <c r="C9" s="46"/>
      <c r="D9" s="46">
        <f t="shared" si="0"/>
        <v>0</v>
      </c>
      <c r="E9" s="46"/>
      <c r="F9" s="46"/>
      <c r="G9" s="46">
        <f t="shared" si="6"/>
        <v>0</v>
      </c>
      <c r="H9" s="46"/>
      <c r="I9" s="46"/>
      <c r="J9" s="46">
        <f t="shared" si="1"/>
        <v>0</v>
      </c>
      <c r="K9" s="46"/>
      <c r="L9" s="46"/>
      <c r="M9" s="46">
        <f t="shared" si="7"/>
        <v>0</v>
      </c>
      <c r="N9" s="46"/>
      <c r="O9" s="46"/>
      <c r="P9" s="46">
        <f t="shared" si="8"/>
        <v>0</v>
      </c>
      <c r="Q9" s="46"/>
      <c r="R9" s="46"/>
      <c r="S9" s="46">
        <f t="shared" si="9"/>
        <v>0</v>
      </c>
      <c r="T9" s="46"/>
      <c r="U9" s="46"/>
      <c r="V9" s="46">
        <f t="shared" si="10"/>
        <v>0</v>
      </c>
      <c r="W9" s="46"/>
      <c r="X9" s="46"/>
      <c r="Y9" s="46">
        <f t="shared" si="11"/>
        <v>0</v>
      </c>
      <c r="Z9" s="46"/>
      <c r="AA9" s="46"/>
      <c r="AB9" s="46">
        <f t="shared" si="12"/>
        <v>0</v>
      </c>
      <c r="AC9" s="46"/>
      <c r="AD9" s="46"/>
      <c r="AE9" s="46">
        <f t="shared" si="13"/>
        <v>0</v>
      </c>
      <c r="AF9" s="46"/>
      <c r="AG9" s="46"/>
      <c r="AH9" s="46">
        <f t="shared" si="14"/>
        <v>0</v>
      </c>
      <c r="AI9" s="46"/>
      <c r="AJ9" s="46"/>
      <c r="AK9" s="46">
        <f t="shared" si="15"/>
        <v>0</v>
      </c>
      <c r="AL9" s="46"/>
      <c r="AM9" s="46"/>
      <c r="AN9" s="46">
        <f t="shared" si="16"/>
        <v>0</v>
      </c>
      <c r="AO9" s="46"/>
      <c r="AP9" s="46"/>
      <c r="AQ9" s="46">
        <f t="shared" si="17"/>
        <v>0</v>
      </c>
      <c r="AR9" s="46"/>
      <c r="AS9" s="46"/>
      <c r="AT9" s="46">
        <f t="shared" si="18"/>
        <v>0</v>
      </c>
      <c r="AU9" s="46"/>
      <c r="AV9" s="46"/>
      <c r="AW9" s="46">
        <f t="shared" si="19"/>
        <v>0</v>
      </c>
      <c r="AX9" s="46"/>
      <c r="AY9" s="46"/>
      <c r="AZ9" s="46">
        <f t="shared" si="20"/>
        <v>0</v>
      </c>
      <c r="BA9" s="46"/>
      <c r="BB9" s="46"/>
      <c r="BC9" s="46">
        <f t="shared" si="21"/>
        <v>0</v>
      </c>
      <c r="BD9" s="46"/>
      <c r="BE9" s="46"/>
      <c r="BF9" s="46">
        <f t="shared" si="22"/>
        <v>0</v>
      </c>
      <c r="BG9" s="46"/>
      <c r="BH9" s="46"/>
      <c r="BI9" s="46">
        <f t="shared" si="23"/>
        <v>0</v>
      </c>
      <c r="BJ9" s="46"/>
      <c r="BK9" s="46"/>
      <c r="BL9" s="46">
        <f t="shared" si="2"/>
        <v>0</v>
      </c>
      <c r="BM9" s="46"/>
      <c r="BN9" s="46"/>
      <c r="BO9" s="46">
        <f t="shared" si="24"/>
        <v>0</v>
      </c>
      <c r="BP9" s="46"/>
      <c r="BQ9" s="46"/>
      <c r="BR9" s="46">
        <f t="shared" si="25"/>
        <v>0</v>
      </c>
      <c r="BS9" s="46"/>
      <c r="BT9" s="46"/>
      <c r="BU9" s="46">
        <f t="shared" si="26"/>
        <v>0</v>
      </c>
      <c r="BV9" s="46"/>
      <c r="BW9" s="46"/>
      <c r="BX9" s="46">
        <f t="shared" si="3"/>
        <v>0</v>
      </c>
      <c r="BY9" s="46"/>
      <c r="BZ9" s="46"/>
      <c r="CA9" s="46">
        <f t="shared" si="27"/>
        <v>0</v>
      </c>
      <c r="CB9" s="46"/>
      <c r="CC9" s="46"/>
      <c r="CD9" s="46">
        <f t="shared" si="28"/>
        <v>0</v>
      </c>
      <c r="CE9" s="46"/>
      <c r="CF9" s="46"/>
      <c r="CG9" s="46">
        <f t="shared" si="29"/>
        <v>0</v>
      </c>
      <c r="CH9" s="46"/>
      <c r="CI9" s="46"/>
      <c r="CJ9" s="46">
        <f t="shared" si="4"/>
        <v>0</v>
      </c>
      <c r="CK9" s="46"/>
      <c r="CL9" s="46"/>
      <c r="CM9" s="46">
        <f t="shared" si="30"/>
        <v>0</v>
      </c>
      <c r="CN9" s="46"/>
      <c r="CO9" s="46"/>
      <c r="CP9" s="46">
        <f t="shared" si="5"/>
        <v>0</v>
      </c>
    </row>
    <row r="10" spans="1:94" ht="15" customHeight="1" x14ac:dyDescent="0.25">
      <c r="A10" s="47" t="s">
        <v>159</v>
      </c>
      <c r="B10" s="46"/>
      <c r="C10" s="46"/>
      <c r="D10" s="46">
        <f t="shared" si="0"/>
        <v>0</v>
      </c>
      <c r="E10" s="46"/>
      <c r="F10" s="46"/>
      <c r="G10" s="46">
        <f t="shared" si="6"/>
        <v>0</v>
      </c>
      <c r="H10" s="46">
        <v>4611</v>
      </c>
      <c r="I10" s="46">
        <v>14311</v>
      </c>
      <c r="J10" s="46">
        <f t="shared" si="1"/>
        <v>18922</v>
      </c>
      <c r="K10" s="46">
        <v>63552</v>
      </c>
      <c r="L10" s="46">
        <v>148801</v>
      </c>
      <c r="M10" s="46">
        <f t="shared" si="7"/>
        <v>212353</v>
      </c>
      <c r="N10" s="46">
        <v>6844</v>
      </c>
      <c r="O10" s="46"/>
      <c r="P10" s="46">
        <f t="shared" si="8"/>
        <v>6844</v>
      </c>
      <c r="Q10" s="46">
        <v>2064</v>
      </c>
      <c r="R10" s="46">
        <v>13933</v>
      </c>
      <c r="S10" s="46">
        <f t="shared" si="9"/>
        <v>15997</v>
      </c>
      <c r="T10" s="46">
        <v>83868.67</v>
      </c>
      <c r="U10" s="46">
        <v>102506.15</v>
      </c>
      <c r="V10" s="46">
        <f t="shared" si="10"/>
        <v>186374.82</v>
      </c>
      <c r="W10" s="46"/>
      <c r="X10" s="46"/>
      <c r="Y10" s="46">
        <f t="shared" si="11"/>
        <v>0</v>
      </c>
      <c r="Z10" s="46"/>
      <c r="AA10" s="46"/>
      <c r="AB10" s="46">
        <f t="shared" si="12"/>
        <v>0</v>
      </c>
      <c r="AC10" s="46">
        <v>17813</v>
      </c>
      <c r="AD10" s="46"/>
      <c r="AE10" s="46">
        <f t="shared" si="13"/>
        <v>17813</v>
      </c>
      <c r="AF10" s="46">
        <v>21359</v>
      </c>
      <c r="AG10" s="46">
        <v>84257</v>
      </c>
      <c r="AH10" s="46">
        <f t="shared" si="14"/>
        <v>105616</v>
      </c>
      <c r="AI10" s="46">
        <v>91809</v>
      </c>
      <c r="AJ10" s="46">
        <v>305379</v>
      </c>
      <c r="AK10" s="46">
        <f t="shared" si="15"/>
        <v>397188</v>
      </c>
      <c r="AL10" s="46">
        <v>158</v>
      </c>
      <c r="AM10" s="46">
        <v>675</v>
      </c>
      <c r="AN10" s="46">
        <f t="shared" si="16"/>
        <v>833</v>
      </c>
      <c r="AO10" s="46"/>
      <c r="AP10" s="46"/>
      <c r="AQ10" s="46">
        <f t="shared" si="17"/>
        <v>0</v>
      </c>
      <c r="AR10" s="46"/>
      <c r="AS10" s="46"/>
      <c r="AT10" s="46">
        <f t="shared" si="18"/>
        <v>0</v>
      </c>
      <c r="AU10" s="46"/>
      <c r="AV10" s="46"/>
      <c r="AW10" s="46">
        <f t="shared" si="19"/>
        <v>0</v>
      </c>
      <c r="AX10" s="46"/>
      <c r="AY10" s="46"/>
      <c r="AZ10" s="46">
        <f t="shared" si="20"/>
        <v>0</v>
      </c>
      <c r="BA10" s="46"/>
      <c r="BB10" s="46"/>
      <c r="BC10" s="46">
        <f t="shared" si="21"/>
        <v>0</v>
      </c>
      <c r="BD10" s="46">
        <v>100457.52</v>
      </c>
      <c r="BE10" s="46">
        <v>956686.31</v>
      </c>
      <c r="BF10" s="46">
        <f t="shared" si="22"/>
        <v>1057143.83</v>
      </c>
      <c r="BG10" s="46"/>
      <c r="BH10" s="46"/>
      <c r="BI10" s="46">
        <f t="shared" si="23"/>
        <v>0</v>
      </c>
      <c r="BJ10" s="46"/>
      <c r="BK10" s="46"/>
      <c r="BL10" s="46">
        <f t="shared" si="2"/>
        <v>0</v>
      </c>
      <c r="BM10" s="46"/>
      <c r="BN10" s="46"/>
      <c r="BO10" s="46">
        <f t="shared" si="24"/>
        <v>0</v>
      </c>
      <c r="BP10" s="46"/>
      <c r="BQ10" s="46"/>
      <c r="BR10" s="46">
        <f t="shared" si="25"/>
        <v>0</v>
      </c>
      <c r="BS10" s="46">
        <v>67109</v>
      </c>
      <c r="BT10" s="46"/>
      <c r="BU10" s="46">
        <f t="shared" si="26"/>
        <v>67109</v>
      </c>
      <c r="BV10" s="46">
        <v>19112</v>
      </c>
      <c r="BW10" s="46"/>
      <c r="BX10" s="46">
        <f t="shared" si="3"/>
        <v>19112</v>
      </c>
      <c r="BY10" s="46"/>
      <c r="BZ10" s="46"/>
      <c r="CA10" s="46">
        <f t="shared" si="27"/>
        <v>0</v>
      </c>
      <c r="CB10" s="46">
        <v>27977</v>
      </c>
      <c r="CC10" s="46">
        <v>145353</v>
      </c>
      <c r="CD10" s="46">
        <f t="shared" si="28"/>
        <v>173330</v>
      </c>
      <c r="CE10" s="46">
        <v>713261</v>
      </c>
      <c r="CF10" s="46">
        <v>1680826</v>
      </c>
      <c r="CG10" s="46">
        <f t="shared" si="29"/>
        <v>2394087</v>
      </c>
      <c r="CH10" s="46">
        <v>15929</v>
      </c>
      <c r="CI10" s="46">
        <v>634250</v>
      </c>
      <c r="CJ10" s="46">
        <f t="shared" si="4"/>
        <v>650179</v>
      </c>
      <c r="CK10" s="46">
        <v>54239</v>
      </c>
      <c r="CL10" s="46">
        <v>777651</v>
      </c>
      <c r="CM10" s="46">
        <f t="shared" si="30"/>
        <v>831890</v>
      </c>
      <c r="CN10" s="46"/>
      <c r="CO10" s="46"/>
      <c r="CP10" s="46">
        <f t="shared" si="5"/>
        <v>0</v>
      </c>
    </row>
    <row r="11" spans="1:94" ht="15" customHeight="1" x14ac:dyDescent="0.25">
      <c r="A11" s="47" t="s">
        <v>160</v>
      </c>
      <c r="B11" s="46"/>
      <c r="C11" s="46"/>
      <c r="D11" s="46">
        <f t="shared" si="0"/>
        <v>0</v>
      </c>
      <c r="E11" s="46"/>
      <c r="F11" s="46"/>
      <c r="G11" s="46">
        <f t="shared" si="6"/>
        <v>0</v>
      </c>
      <c r="H11" s="46"/>
      <c r="I11" s="46"/>
      <c r="J11" s="46">
        <f t="shared" si="1"/>
        <v>0</v>
      </c>
      <c r="K11" s="46"/>
      <c r="L11" s="46">
        <v>3301</v>
      </c>
      <c r="M11" s="46">
        <f t="shared" si="7"/>
        <v>3301</v>
      </c>
      <c r="N11" s="46"/>
      <c r="O11" s="46"/>
      <c r="P11" s="46">
        <f t="shared" si="8"/>
        <v>0</v>
      </c>
      <c r="Q11" s="46"/>
      <c r="R11" s="46"/>
      <c r="S11" s="46">
        <f t="shared" si="9"/>
        <v>0</v>
      </c>
      <c r="T11" s="46"/>
      <c r="U11" s="46"/>
      <c r="V11" s="46">
        <f t="shared" si="10"/>
        <v>0</v>
      </c>
      <c r="W11" s="46"/>
      <c r="X11" s="46"/>
      <c r="Y11" s="46">
        <f t="shared" si="11"/>
        <v>0</v>
      </c>
      <c r="Z11" s="46"/>
      <c r="AA11" s="46"/>
      <c r="AB11" s="46">
        <f t="shared" si="12"/>
        <v>0</v>
      </c>
      <c r="AC11" s="46"/>
      <c r="AD11" s="46"/>
      <c r="AE11" s="46">
        <f t="shared" si="13"/>
        <v>0</v>
      </c>
      <c r="AF11" s="46"/>
      <c r="AG11" s="46"/>
      <c r="AH11" s="46">
        <f t="shared" si="14"/>
        <v>0</v>
      </c>
      <c r="AI11" s="46">
        <v>763</v>
      </c>
      <c r="AJ11" s="46">
        <v>2537</v>
      </c>
      <c r="AK11" s="46">
        <f t="shared" si="15"/>
        <v>3300</v>
      </c>
      <c r="AL11" s="46"/>
      <c r="AM11" s="46"/>
      <c r="AN11" s="46">
        <f t="shared" si="16"/>
        <v>0</v>
      </c>
      <c r="AO11" s="46"/>
      <c r="AP11" s="46"/>
      <c r="AQ11" s="46">
        <f t="shared" si="17"/>
        <v>0</v>
      </c>
      <c r="AR11" s="46"/>
      <c r="AS11" s="46"/>
      <c r="AT11" s="46">
        <f t="shared" si="18"/>
        <v>0</v>
      </c>
      <c r="AU11" s="46"/>
      <c r="AV11" s="46"/>
      <c r="AW11" s="46">
        <f t="shared" si="19"/>
        <v>0</v>
      </c>
      <c r="AX11" s="46"/>
      <c r="AY11" s="46"/>
      <c r="AZ11" s="46">
        <f t="shared" si="20"/>
        <v>0</v>
      </c>
      <c r="BA11" s="46"/>
      <c r="BB11" s="46"/>
      <c r="BC11" s="46">
        <f t="shared" si="21"/>
        <v>0</v>
      </c>
      <c r="BD11" s="46">
        <v>2.44</v>
      </c>
      <c r="BE11" s="46">
        <v>23.21</v>
      </c>
      <c r="BF11" s="46">
        <f t="shared" si="22"/>
        <v>25.650000000000002</v>
      </c>
      <c r="BG11" s="46"/>
      <c r="BH11" s="46"/>
      <c r="BI11" s="46">
        <f t="shared" si="23"/>
        <v>0</v>
      </c>
      <c r="BJ11" s="46"/>
      <c r="BK11" s="46"/>
      <c r="BL11" s="46">
        <f t="shared" si="2"/>
        <v>0</v>
      </c>
      <c r="BM11" s="46"/>
      <c r="BN11" s="46"/>
      <c r="BO11" s="46">
        <f t="shared" si="24"/>
        <v>0</v>
      </c>
      <c r="BP11" s="46"/>
      <c r="BQ11" s="46"/>
      <c r="BR11" s="46">
        <f t="shared" si="25"/>
        <v>0</v>
      </c>
      <c r="BS11" s="46"/>
      <c r="BT11" s="46"/>
      <c r="BU11" s="46">
        <f t="shared" si="26"/>
        <v>0</v>
      </c>
      <c r="BV11" s="46"/>
      <c r="BW11" s="46"/>
      <c r="BX11" s="46">
        <f t="shared" si="3"/>
        <v>0</v>
      </c>
      <c r="BY11" s="46"/>
      <c r="BZ11" s="46"/>
      <c r="CA11" s="46">
        <f t="shared" si="27"/>
        <v>0</v>
      </c>
      <c r="CB11" s="46"/>
      <c r="CC11" s="46"/>
      <c r="CD11" s="46">
        <f t="shared" si="28"/>
        <v>0</v>
      </c>
      <c r="CE11" s="46"/>
      <c r="CF11" s="46"/>
      <c r="CG11" s="46">
        <f t="shared" si="29"/>
        <v>0</v>
      </c>
      <c r="CH11" s="46"/>
      <c r="CI11" s="46"/>
      <c r="CJ11" s="46">
        <f t="shared" si="4"/>
        <v>0</v>
      </c>
      <c r="CK11" s="46"/>
      <c r="CL11" s="46"/>
      <c r="CM11" s="46">
        <f t="shared" si="30"/>
        <v>0</v>
      </c>
      <c r="CN11" s="46"/>
      <c r="CO11" s="46"/>
      <c r="CP11" s="46">
        <f t="shared" si="5"/>
        <v>0</v>
      </c>
    </row>
    <row r="12" spans="1:94" ht="15" customHeight="1" x14ac:dyDescent="0.25">
      <c r="A12" s="47" t="s">
        <v>161</v>
      </c>
      <c r="B12" s="46"/>
      <c r="C12" s="46"/>
      <c r="D12" s="46">
        <f t="shared" si="0"/>
        <v>0</v>
      </c>
      <c r="E12" s="46"/>
      <c r="F12" s="46"/>
      <c r="G12" s="46">
        <f t="shared" si="6"/>
        <v>0</v>
      </c>
      <c r="H12" s="46"/>
      <c r="I12" s="46"/>
      <c r="J12" s="46">
        <f t="shared" si="1"/>
        <v>0</v>
      </c>
      <c r="K12" s="46"/>
      <c r="L12" s="46"/>
      <c r="M12" s="46">
        <f t="shared" si="7"/>
        <v>0</v>
      </c>
      <c r="N12" s="46"/>
      <c r="O12" s="46"/>
      <c r="P12" s="46">
        <f t="shared" si="8"/>
        <v>0</v>
      </c>
      <c r="Q12" s="46"/>
      <c r="R12" s="46"/>
      <c r="S12" s="46">
        <f t="shared" si="9"/>
        <v>0</v>
      </c>
      <c r="T12" s="46"/>
      <c r="U12" s="46"/>
      <c r="V12" s="46">
        <f t="shared" si="10"/>
        <v>0</v>
      </c>
      <c r="W12" s="46"/>
      <c r="X12" s="46"/>
      <c r="Y12" s="46">
        <f t="shared" si="11"/>
        <v>0</v>
      </c>
      <c r="Z12" s="46"/>
      <c r="AA12" s="46"/>
      <c r="AB12" s="46">
        <f t="shared" si="12"/>
        <v>0</v>
      </c>
      <c r="AC12" s="46"/>
      <c r="AD12" s="46"/>
      <c r="AE12" s="46">
        <f t="shared" si="13"/>
        <v>0</v>
      </c>
      <c r="AF12" s="46">
        <v>231</v>
      </c>
      <c r="AG12" s="46">
        <v>912</v>
      </c>
      <c r="AH12" s="46">
        <f t="shared" si="14"/>
        <v>1143</v>
      </c>
      <c r="AI12" s="46"/>
      <c r="AJ12" s="46"/>
      <c r="AK12" s="46">
        <f t="shared" si="15"/>
        <v>0</v>
      </c>
      <c r="AL12" s="46"/>
      <c r="AM12" s="46"/>
      <c r="AN12" s="46">
        <f t="shared" si="16"/>
        <v>0</v>
      </c>
      <c r="AO12" s="46"/>
      <c r="AP12" s="46"/>
      <c r="AQ12" s="46">
        <f t="shared" si="17"/>
        <v>0</v>
      </c>
      <c r="AR12" s="46"/>
      <c r="AS12" s="46"/>
      <c r="AT12" s="46">
        <f t="shared" si="18"/>
        <v>0</v>
      </c>
      <c r="AU12" s="46"/>
      <c r="AV12" s="46"/>
      <c r="AW12" s="46">
        <f t="shared" si="19"/>
        <v>0</v>
      </c>
      <c r="AX12" s="46"/>
      <c r="AY12" s="46"/>
      <c r="AZ12" s="46">
        <f t="shared" si="20"/>
        <v>0</v>
      </c>
      <c r="BA12" s="46"/>
      <c r="BB12" s="46"/>
      <c r="BC12" s="46">
        <f t="shared" si="21"/>
        <v>0</v>
      </c>
      <c r="BD12" s="46"/>
      <c r="BE12" s="46"/>
      <c r="BF12" s="46">
        <f t="shared" si="22"/>
        <v>0</v>
      </c>
      <c r="BG12" s="46"/>
      <c r="BH12" s="46"/>
      <c r="BI12" s="46">
        <f t="shared" si="23"/>
        <v>0</v>
      </c>
      <c r="BJ12" s="46"/>
      <c r="BK12" s="46"/>
      <c r="BL12" s="46">
        <f t="shared" si="2"/>
        <v>0</v>
      </c>
      <c r="BM12" s="46"/>
      <c r="BN12" s="46"/>
      <c r="BO12" s="46">
        <f t="shared" si="24"/>
        <v>0</v>
      </c>
      <c r="BP12" s="46"/>
      <c r="BQ12" s="46"/>
      <c r="BR12" s="46">
        <f t="shared" si="25"/>
        <v>0</v>
      </c>
      <c r="BS12" s="46"/>
      <c r="BT12" s="46"/>
      <c r="BU12" s="46">
        <f t="shared" si="26"/>
        <v>0</v>
      </c>
      <c r="BV12" s="46"/>
      <c r="BW12" s="46"/>
      <c r="BX12" s="46">
        <f t="shared" si="3"/>
        <v>0</v>
      </c>
      <c r="BY12" s="46"/>
      <c r="BZ12" s="46"/>
      <c r="CA12" s="46">
        <f t="shared" si="27"/>
        <v>0</v>
      </c>
      <c r="CB12" s="46"/>
      <c r="CC12" s="46"/>
      <c r="CD12" s="46">
        <f t="shared" si="28"/>
        <v>0</v>
      </c>
      <c r="CE12" s="46">
        <v>3772</v>
      </c>
      <c r="CF12" s="46">
        <v>7888</v>
      </c>
      <c r="CG12" s="46">
        <f t="shared" si="29"/>
        <v>11660</v>
      </c>
      <c r="CH12" s="46">
        <v>102</v>
      </c>
      <c r="CI12" s="46">
        <v>4050</v>
      </c>
      <c r="CJ12" s="46">
        <f t="shared" si="4"/>
        <v>4152</v>
      </c>
      <c r="CK12" s="46"/>
      <c r="CL12" s="46"/>
      <c r="CM12" s="46">
        <f t="shared" si="30"/>
        <v>0</v>
      </c>
      <c r="CN12" s="46"/>
      <c r="CO12" s="46"/>
      <c r="CP12" s="46">
        <f t="shared" si="5"/>
        <v>0</v>
      </c>
    </row>
    <row r="13" spans="1:94" ht="15" customHeight="1" x14ac:dyDescent="0.25">
      <c r="A13" s="47" t="s">
        <v>294</v>
      </c>
      <c r="B13" s="46"/>
      <c r="C13" s="46"/>
      <c r="D13" s="46"/>
      <c r="E13" s="46"/>
      <c r="F13" s="46"/>
      <c r="G13" s="46">
        <f t="shared" si="6"/>
        <v>0</v>
      </c>
      <c r="H13" s="46"/>
      <c r="I13" s="46"/>
      <c r="J13" s="46">
        <f t="shared" si="1"/>
        <v>0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>
        <f t="shared" si="24"/>
        <v>0</v>
      </c>
      <c r="BP13" s="46"/>
      <c r="BQ13" s="46"/>
      <c r="BR13" s="46">
        <f t="shared" si="25"/>
        <v>0</v>
      </c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</row>
    <row r="14" spans="1:94" ht="15" customHeight="1" x14ac:dyDescent="0.25">
      <c r="A14" s="47" t="s">
        <v>295</v>
      </c>
      <c r="B14" s="46">
        <v>1504</v>
      </c>
      <c r="C14" s="46">
        <v>3999</v>
      </c>
      <c r="D14" s="46">
        <f t="shared" si="0"/>
        <v>5503</v>
      </c>
      <c r="E14" s="46"/>
      <c r="F14" s="46">
        <v>6883</v>
      </c>
      <c r="G14" s="46">
        <f t="shared" si="6"/>
        <v>6883</v>
      </c>
      <c r="H14" s="46">
        <v>45112</v>
      </c>
      <c r="I14" s="46">
        <v>140010</v>
      </c>
      <c r="J14" s="46">
        <f t="shared" si="1"/>
        <v>185122</v>
      </c>
      <c r="K14" s="46">
        <v>25664</v>
      </c>
      <c r="L14" s="46">
        <v>115999</v>
      </c>
      <c r="M14" s="46">
        <f t="shared" si="7"/>
        <v>141663</v>
      </c>
      <c r="N14" s="46">
        <v>15389</v>
      </c>
      <c r="O14" s="46">
        <v>41060</v>
      </c>
      <c r="P14" s="46">
        <f t="shared" si="8"/>
        <v>56449</v>
      </c>
      <c r="Q14" s="46">
        <v>14101</v>
      </c>
      <c r="R14" s="46">
        <v>95199</v>
      </c>
      <c r="S14" s="46">
        <f t="shared" si="9"/>
        <v>109300</v>
      </c>
      <c r="T14" s="46">
        <v>75719.16</v>
      </c>
      <c r="U14" s="46">
        <v>92545.64</v>
      </c>
      <c r="V14" s="46">
        <f t="shared" si="10"/>
        <v>168264.8</v>
      </c>
      <c r="W14" s="46">
        <v>211</v>
      </c>
      <c r="X14" s="46">
        <v>84</v>
      </c>
      <c r="Y14" s="46">
        <f t="shared" si="11"/>
        <v>295</v>
      </c>
      <c r="Z14" s="46">
        <v>15786.53</v>
      </c>
      <c r="AA14" s="46">
        <v>57709.82</v>
      </c>
      <c r="AB14" s="46">
        <f t="shared" si="12"/>
        <v>73496.350000000006</v>
      </c>
      <c r="AC14" s="46">
        <v>2500</v>
      </c>
      <c r="AD14" s="46">
        <v>12201</v>
      </c>
      <c r="AE14" s="46">
        <f t="shared" si="13"/>
        <v>14701</v>
      </c>
      <c r="AF14" s="46">
        <v>43779</v>
      </c>
      <c r="AG14" s="46">
        <v>172703</v>
      </c>
      <c r="AH14" s="46">
        <f t="shared" si="14"/>
        <v>216482</v>
      </c>
      <c r="AI14" s="46">
        <v>77053</v>
      </c>
      <c r="AJ14" s="46">
        <v>256297</v>
      </c>
      <c r="AK14" s="46">
        <f t="shared" si="15"/>
        <v>333350</v>
      </c>
      <c r="AL14" s="46">
        <v>8667</v>
      </c>
      <c r="AM14" s="46">
        <v>36985</v>
      </c>
      <c r="AN14" s="46">
        <f t="shared" si="16"/>
        <v>45652</v>
      </c>
      <c r="AO14" s="46">
        <v>468</v>
      </c>
      <c r="AP14" s="46">
        <v>2046</v>
      </c>
      <c r="AQ14" s="46">
        <f t="shared" si="17"/>
        <v>2514</v>
      </c>
      <c r="AR14" s="46">
        <v>23688</v>
      </c>
      <c r="AS14" s="46">
        <v>67006</v>
      </c>
      <c r="AT14" s="46">
        <f t="shared" si="18"/>
        <v>90694</v>
      </c>
      <c r="AU14" s="46">
        <v>4759</v>
      </c>
      <c r="AV14" s="46">
        <v>33140</v>
      </c>
      <c r="AW14" s="46">
        <f t="shared" si="19"/>
        <v>37899</v>
      </c>
      <c r="AX14" s="46">
        <v>2064.7800000000002</v>
      </c>
      <c r="AY14" s="46">
        <v>8414.2999999999993</v>
      </c>
      <c r="AZ14" s="46">
        <f t="shared" si="20"/>
        <v>10479.08</v>
      </c>
      <c r="BA14" s="46">
        <v>19544</v>
      </c>
      <c r="BB14" s="46">
        <v>55365</v>
      </c>
      <c r="BC14" s="46">
        <f t="shared" si="21"/>
        <v>74909</v>
      </c>
      <c r="BD14" s="46">
        <v>22913.74</v>
      </c>
      <c r="BE14" s="46">
        <v>218214.25</v>
      </c>
      <c r="BF14" s="46">
        <f t="shared" si="22"/>
        <v>241127.99</v>
      </c>
      <c r="BG14" s="46">
        <v>5832</v>
      </c>
      <c r="BH14" s="46">
        <v>7368</v>
      </c>
      <c r="BI14" s="46">
        <f t="shared" si="23"/>
        <v>13200</v>
      </c>
      <c r="BJ14" s="46">
        <v>5419</v>
      </c>
      <c r="BK14" s="46">
        <v>16410</v>
      </c>
      <c r="BL14" s="46">
        <f t="shared" si="2"/>
        <v>21829</v>
      </c>
      <c r="BM14" s="46">
        <v>68471</v>
      </c>
      <c r="BN14" s="46">
        <v>279022</v>
      </c>
      <c r="BO14" s="46">
        <f t="shared" si="24"/>
        <v>347493</v>
      </c>
      <c r="BP14" s="46">
        <v>19463</v>
      </c>
      <c r="BQ14" s="46">
        <v>94841</v>
      </c>
      <c r="BR14" s="46">
        <f t="shared" si="25"/>
        <v>114304</v>
      </c>
      <c r="BS14" s="46">
        <v>9610</v>
      </c>
      <c r="BT14" s="46">
        <v>123768</v>
      </c>
      <c r="BU14" s="46">
        <f t="shared" si="26"/>
        <v>133378</v>
      </c>
      <c r="BV14" s="46">
        <f>450+245</f>
        <v>695</v>
      </c>
      <c r="BW14" s="46">
        <v>49345</v>
      </c>
      <c r="BX14" s="46">
        <f t="shared" si="3"/>
        <v>50040</v>
      </c>
      <c r="BY14" s="46"/>
      <c r="BZ14" s="46"/>
      <c r="CA14" s="46">
        <f t="shared" si="27"/>
        <v>0</v>
      </c>
      <c r="CB14" s="46">
        <v>51391</v>
      </c>
      <c r="CC14" s="46">
        <v>267003</v>
      </c>
      <c r="CD14" s="46">
        <f t="shared" si="28"/>
        <v>318394</v>
      </c>
      <c r="CE14" s="46">
        <v>39263</v>
      </c>
      <c r="CF14" s="46">
        <v>89840</v>
      </c>
      <c r="CG14" s="46">
        <f t="shared" si="29"/>
        <v>129103</v>
      </c>
      <c r="CH14" s="46">
        <v>1204</v>
      </c>
      <c r="CI14" s="46">
        <v>47921</v>
      </c>
      <c r="CJ14" s="46">
        <f t="shared" si="4"/>
        <v>49125</v>
      </c>
      <c r="CK14" s="46">
        <v>8750</v>
      </c>
      <c r="CL14" s="46">
        <v>125457</v>
      </c>
      <c r="CM14" s="46">
        <f t="shared" si="30"/>
        <v>134207</v>
      </c>
      <c r="CN14" s="46">
        <v>13183</v>
      </c>
      <c r="CO14" s="46">
        <v>51647</v>
      </c>
      <c r="CP14" s="46">
        <f t="shared" si="5"/>
        <v>64830</v>
      </c>
    </row>
    <row r="15" spans="1:94" ht="15" customHeight="1" x14ac:dyDescent="0.25">
      <c r="A15" s="47" t="s">
        <v>168</v>
      </c>
      <c r="B15" s="46"/>
      <c r="C15" s="46"/>
      <c r="D15" s="46">
        <f t="shared" si="0"/>
        <v>0</v>
      </c>
      <c r="E15" s="46"/>
      <c r="F15" s="46"/>
      <c r="G15" s="46">
        <f t="shared" si="6"/>
        <v>0</v>
      </c>
      <c r="H15" s="46"/>
      <c r="I15" s="46"/>
      <c r="J15" s="46">
        <f t="shared" si="1"/>
        <v>0</v>
      </c>
      <c r="K15" s="46"/>
      <c r="L15" s="46"/>
      <c r="M15" s="46">
        <f t="shared" si="7"/>
        <v>0</v>
      </c>
      <c r="N15" s="46"/>
      <c r="O15" s="46"/>
      <c r="P15" s="46">
        <f t="shared" si="8"/>
        <v>0</v>
      </c>
      <c r="Q15" s="46">
        <f>179+26</f>
        <v>205</v>
      </c>
      <c r="R15" s="46">
        <f>1207+173</f>
        <v>1380</v>
      </c>
      <c r="S15" s="46">
        <f t="shared" si="9"/>
        <v>1585</v>
      </c>
      <c r="T15" s="46"/>
      <c r="U15" s="46"/>
      <c r="V15" s="46">
        <f t="shared" si="10"/>
        <v>0</v>
      </c>
      <c r="W15" s="46"/>
      <c r="X15" s="46"/>
      <c r="Y15" s="46">
        <f t="shared" si="11"/>
        <v>0</v>
      </c>
      <c r="Z15" s="46">
        <v>18.899999999999999</v>
      </c>
      <c r="AA15" s="46">
        <v>69.099999999999994</v>
      </c>
      <c r="AB15" s="46">
        <f t="shared" si="12"/>
        <v>88</v>
      </c>
      <c r="AC15" s="46"/>
      <c r="AD15" s="46"/>
      <c r="AE15" s="46">
        <f t="shared" si="13"/>
        <v>0</v>
      </c>
      <c r="AF15" s="46">
        <v>49</v>
      </c>
      <c r="AG15" s="46">
        <v>192</v>
      </c>
      <c r="AH15" s="46">
        <f t="shared" si="14"/>
        <v>241</v>
      </c>
      <c r="AI15" s="46">
        <v>30624</v>
      </c>
      <c r="AJ15" s="46">
        <v>94293</v>
      </c>
      <c r="AK15" s="46">
        <f t="shared" si="15"/>
        <v>124917</v>
      </c>
      <c r="AL15" s="46"/>
      <c r="AM15" s="46"/>
      <c r="AN15" s="46">
        <f>AM15+AL15</f>
        <v>0</v>
      </c>
      <c r="AO15" s="46"/>
      <c r="AP15" s="46"/>
      <c r="AQ15" s="46">
        <f t="shared" si="17"/>
        <v>0</v>
      </c>
      <c r="AR15" s="46"/>
      <c r="AS15" s="46"/>
      <c r="AT15" s="46">
        <f t="shared" si="18"/>
        <v>0</v>
      </c>
      <c r="AU15" s="46">
        <v>314</v>
      </c>
      <c r="AV15" s="46">
        <v>2186</v>
      </c>
      <c r="AW15" s="46">
        <f t="shared" si="19"/>
        <v>2500</v>
      </c>
      <c r="AX15" s="46"/>
      <c r="AY15" s="46"/>
      <c r="AZ15" s="46">
        <f t="shared" si="20"/>
        <v>0</v>
      </c>
      <c r="BA15" s="46"/>
      <c r="BB15" s="46">
        <v>1982</v>
      </c>
      <c r="BC15" s="46">
        <f t="shared" si="21"/>
        <v>1982</v>
      </c>
      <c r="BD15" s="46">
        <v>34.15</v>
      </c>
      <c r="BE15" s="46">
        <v>325.22000000000003</v>
      </c>
      <c r="BF15" s="46">
        <f t="shared" si="22"/>
        <v>359.37</v>
      </c>
      <c r="BG15" s="46"/>
      <c r="BH15" s="46"/>
      <c r="BI15" s="46">
        <f t="shared" si="23"/>
        <v>0</v>
      </c>
      <c r="BJ15" s="46">
        <v>8</v>
      </c>
      <c r="BK15" s="46">
        <v>25</v>
      </c>
      <c r="BL15" s="46">
        <f t="shared" si="2"/>
        <v>33</v>
      </c>
      <c r="BM15" s="46"/>
      <c r="BN15" s="46"/>
      <c r="BO15" s="46">
        <f t="shared" si="24"/>
        <v>0</v>
      </c>
      <c r="BP15" s="46">
        <v>143</v>
      </c>
      <c r="BQ15" s="46">
        <v>699</v>
      </c>
      <c r="BR15" s="46">
        <f t="shared" si="25"/>
        <v>842</v>
      </c>
      <c r="BS15" s="46"/>
      <c r="BT15" s="46"/>
      <c r="BU15" s="46">
        <f t="shared" si="26"/>
        <v>0</v>
      </c>
      <c r="BV15" s="46"/>
      <c r="BW15" s="46"/>
      <c r="BX15" s="46">
        <f t="shared" si="3"/>
        <v>0</v>
      </c>
      <c r="BY15" s="46"/>
      <c r="BZ15" s="46"/>
      <c r="CA15" s="46">
        <f t="shared" si="27"/>
        <v>0</v>
      </c>
      <c r="CB15" s="46"/>
      <c r="CC15" s="46"/>
      <c r="CD15" s="46">
        <f t="shared" si="28"/>
        <v>0</v>
      </c>
      <c r="CE15" s="46"/>
      <c r="CF15" s="46"/>
      <c r="CG15" s="46">
        <f t="shared" si="29"/>
        <v>0</v>
      </c>
      <c r="CH15" s="46">
        <v>52</v>
      </c>
      <c r="CI15" s="46">
        <v>2070</v>
      </c>
      <c r="CJ15" s="46">
        <f t="shared" si="4"/>
        <v>2122</v>
      </c>
      <c r="CK15" s="46"/>
      <c r="CL15" s="46"/>
      <c r="CM15" s="46">
        <f t="shared" si="30"/>
        <v>0</v>
      </c>
      <c r="CN15" s="46"/>
      <c r="CO15" s="46"/>
      <c r="CP15" s="46">
        <f t="shared" si="5"/>
        <v>0</v>
      </c>
    </row>
    <row r="16" spans="1:94" ht="15" customHeight="1" x14ac:dyDescent="0.25">
      <c r="A16" s="47" t="s">
        <v>162</v>
      </c>
      <c r="B16" s="46"/>
      <c r="C16" s="46"/>
      <c r="D16" s="46">
        <f t="shared" si="0"/>
        <v>0</v>
      </c>
      <c r="E16" s="46"/>
      <c r="F16" s="46"/>
      <c r="G16" s="46">
        <f t="shared" si="6"/>
        <v>0</v>
      </c>
      <c r="H16" s="46"/>
      <c r="I16" s="46"/>
      <c r="J16" s="46">
        <f t="shared" si="1"/>
        <v>0</v>
      </c>
      <c r="K16" s="46"/>
      <c r="L16" s="46"/>
      <c r="M16" s="46">
        <f t="shared" si="7"/>
        <v>0</v>
      </c>
      <c r="N16" s="46"/>
      <c r="O16" s="46"/>
      <c r="P16" s="46">
        <f t="shared" si="8"/>
        <v>0</v>
      </c>
      <c r="Q16" s="46"/>
      <c r="R16" s="46"/>
      <c r="S16" s="46">
        <f t="shared" si="9"/>
        <v>0</v>
      </c>
      <c r="T16" s="46"/>
      <c r="U16" s="46"/>
      <c r="V16" s="46">
        <f t="shared" si="10"/>
        <v>0</v>
      </c>
      <c r="W16" s="46"/>
      <c r="X16" s="46"/>
      <c r="Y16" s="46">
        <f t="shared" si="11"/>
        <v>0</v>
      </c>
      <c r="Z16" s="46"/>
      <c r="AA16" s="46"/>
      <c r="AB16" s="46">
        <f t="shared" si="12"/>
        <v>0</v>
      </c>
      <c r="AC16" s="46"/>
      <c r="AD16" s="46"/>
      <c r="AE16" s="46">
        <f t="shared" si="13"/>
        <v>0</v>
      </c>
      <c r="AF16" s="46"/>
      <c r="AG16" s="46"/>
      <c r="AH16" s="46">
        <f t="shared" si="14"/>
        <v>0</v>
      </c>
      <c r="AI16" s="46"/>
      <c r="AJ16" s="46"/>
      <c r="AK16" s="46">
        <f t="shared" si="15"/>
        <v>0</v>
      </c>
      <c r="AL16" s="46">
        <v>9</v>
      </c>
      <c r="AM16" s="46">
        <v>41</v>
      </c>
      <c r="AN16" s="46">
        <f t="shared" si="16"/>
        <v>50</v>
      </c>
      <c r="AO16" s="46"/>
      <c r="AP16" s="46"/>
      <c r="AQ16" s="46">
        <f t="shared" si="17"/>
        <v>0</v>
      </c>
      <c r="AR16" s="46"/>
      <c r="AS16" s="46"/>
      <c r="AT16" s="46">
        <f t="shared" si="18"/>
        <v>0</v>
      </c>
      <c r="AU16" s="46"/>
      <c r="AV16" s="46"/>
      <c r="AW16" s="46">
        <f t="shared" si="19"/>
        <v>0</v>
      </c>
      <c r="AX16" s="46"/>
      <c r="AY16" s="46"/>
      <c r="AZ16" s="46">
        <f t="shared" si="20"/>
        <v>0</v>
      </c>
      <c r="BA16" s="46"/>
      <c r="BB16" s="46"/>
      <c r="BC16" s="46">
        <f t="shared" si="21"/>
        <v>0</v>
      </c>
      <c r="BD16" s="46"/>
      <c r="BE16" s="46"/>
      <c r="BF16" s="46">
        <f t="shared" si="22"/>
        <v>0</v>
      </c>
      <c r="BG16" s="46"/>
      <c r="BH16" s="46"/>
      <c r="BI16" s="46">
        <f t="shared" si="23"/>
        <v>0</v>
      </c>
      <c r="BJ16" s="46"/>
      <c r="BK16" s="46"/>
      <c r="BL16" s="46">
        <f t="shared" si="2"/>
        <v>0</v>
      </c>
      <c r="BM16" s="46"/>
      <c r="BN16" s="46"/>
      <c r="BO16" s="46">
        <f t="shared" si="24"/>
        <v>0</v>
      </c>
      <c r="BP16" s="46"/>
      <c r="BQ16" s="46"/>
      <c r="BR16" s="46">
        <f t="shared" si="25"/>
        <v>0</v>
      </c>
      <c r="BS16" s="46"/>
      <c r="BT16" s="46"/>
      <c r="BU16" s="46">
        <f t="shared" si="26"/>
        <v>0</v>
      </c>
      <c r="BV16" s="46">
        <v>17164</v>
      </c>
      <c r="BW16" s="46"/>
      <c r="BX16" s="46">
        <f t="shared" si="3"/>
        <v>17164</v>
      </c>
      <c r="BY16" s="46"/>
      <c r="BZ16" s="46"/>
      <c r="CA16" s="46">
        <f t="shared" si="27"/>
        <v>0</v>
      </c>
      <c r="CB16" s="46"/>
      <c r="CC16" s="46"/>
      <c r="CD16" s="46">
        <f t="shared" si="28"/>
        <v>0</v>
      </c>
      <c r="CE16" s="46">
        <v>10207</v>
      </c>
      <c r="CF16" s="46">
        <v>0</v>
      </c>
      <c r="CG16" s="46">
        <f t="shared" si="29"/>
        <v>10207</v>
      </c>
      <c r="CH16" s="46"/>
      <c r="CI16" s="46">
        <v>5</v>
      </c>
      <c r="CJ16" s="46">
        <f t="shared" si="4"/>
        <v>5</v>
      </c>
      <c r="CK16" s="46"/>
      <c r="CL16" s="46"/>
      <c r="CM16" s="46">
        <f t="shared" si="30"/>
        <v>0</v>
      </c>
      <c r="CN16" s="46"/>
      <c r="CO16" s="46"/>
      <c r="CP16" s="46">
        <f t="shared" si="5"/>
        <v>0</v>
      </c>
    </row>
    <row r="17" spans="1:94" ht="15" customHeight="1" x14ac:dyDescent="0.25">
      <c r="A17" s="47" t="s">
        <v>163</v>
      </c>
      <c r="B17" s="46"/>
      <c r="C17" s="46"/>
      <c r="D17" s="46">
        <f t="shared" si="0"/>
        <v>0</v>
      </c>
      <c r="E17" s="46"/>
      <c r="F17" s="46"/>
      <c r="G17" s="46">
        <f t="shared" si="6"/>
        <v>0</v>
      </c>
      <c r="H17" s="46"/>
      <c r="I17" s="46"/>
      <c r="J17" s="46">
        <f t="shared" si="1"/>
        <v>0</v>
      </c>
      <c r="K17" s="46"/>
      <c r="L17" s="46"/>
      <c r="M17" s="46">
        <f t="shared" si="7"/>
        <v>0</v>
      </c>
      <c r="N17" s="46"/>
      <c r="O17" s="46"/>
      <c r="P17" s="46">
        <f t="shared" si="8"/>
        <v>0</v>
      </c>
      <c r="Q17" s="46">
        <v>402</v>
      </c>
      <c r="R17" s="46">
        <v>2717</v>
      </c>
      <c r="S17" s="46">
        <f t="shared" si="9"/>
        <v>3119</v>
      </c>
      <c r="T17" s="46"/>
      <c r="U17" s="46"/>
      <c r="V17" s="46">
        <f t="shared" si="10"/>
        <v>0</v>
      </c>
      <c r="W17" s="46"/>
      <c r="X17" s="46"/>
      <c r="Y17" s="46">
        <f t="shared" si="11"/>
        <v>0</v>
      </c>
      <c r="Z17" s="46"/>
      <c r="AA17" s="46"/>
      <c r="AB17" s="46">
        <f t="shared" si="12"/>
        <v>0</v>
      </c>
      <c r="AC17" s="46"/>
      <c r="AD17" s="46"/>
      <c r="AE17" s="46">
        <f t="shared" si="13"/>
        <v>0</v>
      </c>
      <c r="AF17" s="46"/>
      <c r="AG17" s="46"/>
      <c r="AH17" s="46">
        <f t="shared" si="14"/>
        <v>0</v>
      </c>
      <c r="AI17" s="46">
        <v>8648</v>
      </c>
      <c r="AJ17" s="46">
        <v>28767</v>
      </c>
      <c r="AK17" s="46">
        <f t="shared" si="15"/>
        <v>37415</v>
      </c>
      <c r="AL17" s="46"/>
      <c r="AM17" s="46"/>
      <c r="AN17" s="46">
        <f t="shared" si="16"/>
        <v>0</v>
      </c>
      <c r="AO17" s="46"/>
      <c r="AP17" s="46"/>
      <c r="AQ17" s="46">
        <f t="shared" si="17"/>
        <v>0</v>
      </c>
      <c r="AR17" s="46"/>
      <c r="AS17" s="46"/>
      <c r="AT17" s="46">
        <f t="shared" si="18"/>
        <v>0</v>
      </c>
      <c r="AU17" s="46"/>
      <c r="AV17" s="46"/>
      <c r="AW17" s="46">
        <f t="shared" si="19"/>
        <v>0</v>
      </c>
      <c r="AX17" s="46"/>
      <c r="AY17" s="46"/>
      <c r="AZ17" s="46">
        <f t="shared" si="20"/>
        <v>0</v>
      </c>
      <c r="BA17" s="46"/>
      <c r="BB17" s="46"/>
      <c r="BC17" s="46">
        <f t="shared" si="21"/>
        <v>0</v>
      </c>
      <c r="BD17" s="46">
        <v>1.98</v>
      </c>
      <c r="BE17" s="46">
        <v>18.82</v>
      </c>
      <c r="BF17" s="46">
        <f t="shared" si="22"/>
        <v>20.8</v>
      </c>
      <c r="BG17" s="46"/>
      <c r="BH17" s="46"/>
      <c r="BI17" s="46">
        <f t="shared" si="23"/>
        <v>0</v>
      </c>
      <c r="BJ17" s="46"/>
      <c r="BK17" s="46"/>
      <c r="BL17" s="46">
        <f t="shared" si="2"/>
        <v>0</v>
      </c>
      <c r="BM17" s="46"/>
      <c r="BN17" s="46"/>
      <c r="BO17" s="46">
        <f t="shared" si="24"/>
        <v>0</v>
      </c>
      <c r="BP17" s="46"/>
      <c r="BQ17" s="46"/>
      <c r="BR17" s="46">
        <f t="shared" si="25"/>
        <v>0</v>
      </c>
      <c r="BS17" s="46"/>
      <c r="BT17" s="46"/>
      <c r="BU17" s="46">
        <f t="shared" si="26"/>
        <v>0</v>
      </c>
      <c r="BV17" s="46"/>
      <c r="BW17" s="46"/>
      <c r="BX17" s="46">
        <f t="shared" si="3"/>
        <v>0</v>
      </c>
      <c r="BY17" s="46">
        <v>5144</v>
      </c>
      <c r="BZ17" s="46">
        <v>7875</v>
      </c>
      <c r="CA17" s="46">
        <f t="shared" si="27"/>
        <v>13019</v>
      </c>
      <c r="CB17" s="46">
        <v>2871</v>
      </c>
      <c r="CC17" s="46">
        <v>14918</v>
      </c>
      <c r="CD17" s="46">
        <f t="shared" si="28"/>
        <v>17789</v>
      </c>
      <c r="CE17" s="46"/>
      <c r="CF17" s="46"/>
      <c r="CG17" s="46">
        <f t="shared" si="29"/>
        <v>0</v>
      </c>
      <c r="CH17" s="46"/>
      <c r="CI17" s="46"/>
      <c r="CJ17" s="46">
        <f t="shared" si="4"/>
        <v>0</v>
      </c>
      <c r="CK17" s="46"/>
      <c r="CL17" s="46"/>
      <c r="CM17" s="46">
        <f t="shared" si="30"/>
        <v>0</v>
      </c>
      <c r="CN17" s="46"/>
      <c r="CO17" s="46"/>
      <c r="CP17" s="46">
        <f t="shared" si="5"/>
        <v>0</v>
      </c>
    </row>
    <row r="18" spans="1:94" ht="15" customHeight="1" x14ac:dyDescent="0.25">
      <c r="A18" s="47" t="s">
        <v>293</v>
      </c>
      <c r="B18" s="46">
        <v>6603</v>
      </c>
      <c r="C18" s="46">
        <v>17556</v>
      </c>
      <c r="D18" s="46">
        <f t="shared" si="0"/>
        <v>24159</v>
      </c>
      <c r="E18" s="46">
        <v>2571</v>
      </c>
      <c r="F18" s="46">
        <f>4807+4501</f>
        <v>9308</v>
      </c>
      <c r="G18" s="46">
        <f t="shared" si="6"/>
        <v>11879</v>
      </c>
      <c r="H18" s="46">
        <v>14084</v>
      </c>
      <c r="I18" s="46">
        <v>43712</v>
      </c>
      <c r="J18" s="46">
        <f t="shared" si="1"/>
        <v>57796</v>
      </c>
      <c r="K18" s="46">
        <v>81053</v>
      </c>
      <c r="L18" s="46">
        <v>248392</v>
      </c>
      <c r="M18" s="46">
        <f t="shared" si="7"/>
        <v>329445</v>
      </c>
      <c r="N18" s="46">
        <v>33563</v>
      </c>
      <c r="O18" s="46">
        <v>85510</v>
      </c>
      <c r="P18" s="46">
        <f t="shared" si="8"/>
        <v>119073</v>
      </c>
      <c r="Q18" s="46">
        <v>17792</v>
      </c>
      <c r="R18" s="46">
        <v>120116</v>
      </c>
      <c r="S18" s="46">
        <f t="shared" si="9"/>
        <v>137908</v>
      </c>
      <c r="T18" s="46">
        <v>133890.57</v>
      </c>
      <c r="U18" s="46">
        <v>163644.03</v>
      </c>
      <c r="V18" s="46">
        <f t="shared" si="10"/>
        <v>297534.59999999998</v>
      </c>
      <c r="W18" s="46">
        <v>1332</v>
      </c>
      <c r="X18" s="46">
        <v>5605</v>
      </c>
      <c r="Y18" s="46">
        <f t="shared" si="11"/>
        <v>6937</v>
      </c>
      <c r="Z18" s="46">
        <v>36858.28</v>
      </c>
      <c r="AA18" s="46">
        <v>134740.47</v>
      </c>
      <c r="AB18" s="46">
        <f t="shared" si="12"/>
        <v>171598.75</v>
      </c>
      <c r="AC18" s="46">
        <v>30545</v>
      </c>
      <c r="AD18" s="46">
        <v>96403</v>
      </c>
      <c r="AE18" s="46">
        <f t="shared" si="13"/>
        <v>126948</v>
      </c>
      <c r="AF18" s="46">
        <v>98722</v>
      </c>
      <c r="AG18" s="46">
        <v>389442</v>
      </c>
      <c r="AH18" s="46">
        <f t="shared" si="14"/>
        <v>488164</v>
      </c>
      <c r="AI18" s="46">
        <v>196540</v>
      </c>
      <c r="AJ18" s="46">
        <v>653736</v>
      </c>
      <c r="AK18" s="46">
        <f t="shared" si="15"/>
        <v>850276</v>
      </c>
      <c r="AL18" s="46">
        <v>83865</v>
      </c>
      <c r="AM18" s="46">
        <v>357908</v>
      </c>
      <c r="AN18" s="46">
        <f>AM18+AL18</f>
        <v>441773</v>
      </c>
      <c r="AO18" s="46">
        <v>3212</v>
      </c>
      <c r="AP18" s="46">
        <v>14038</v>
      </c>
      <c r="AQ18" s="46">
        <f t="shared" si="17"/>
        <v>17250</v>
      </c>
      <c r="AR18" s="46">
        <v>14749</v>
      </c>
      <c r="AS18" s="46">
        <v>41719</v>
      </c>
      <c r="AT18" s="46">
        <f t="shared" si="18"/>
        <v>56468</v>
      </c>
      <c r="AU18" s="46">
        <v>9333</v>
      </c>
      <c r="AV18" s="46">
        <v>64996</v>
      </c>
      <c r="AW18" s="46">
        <f t="shared" si="19"/>
        <v>74329</v>
      </c>
      <c r="AX18" s="46">
        <v>8396.82</v>
      </c>
      <c r="AY18" s="46">
        <v>18916.14</v>
      </c>
      <c r="AZ18" s="46">
        <f t="shared" si="20"/>
        <v>27312.959999999999</v>
      </c>
      <c r="BA18" s="46">
        <v>11652</v>
      </c>
      <c r="BB18" s="46">
        <v>44450</v>
      </c>
      <c r="BC18" s="46">
        <f t="shared" si="21"/>
        <v>56102</v>
      </c>
      <c r="BD18" s="46">
        <v>20218.63</v>
      </c>
      <c r="BE18" s="46">
        <v>192547.9</v>
      </c>
      <c r="BF18" s="46">
        <f t="shared" si="22"/>
        <v>212766.53</v>
      </c>
      <c r="BG18" s="46">
        <v>5578</v>
      </c>
      <c r="BH18" s="46">
        <v>2359</v>
      </c>
      <c r="BI18" s="46">
        <f t="shared" si="23"/>
        <v>7937</v>
      </c>
      <c r="BJ18" s="46">
        <v>5154</v>
      </c>
      <c r="BK18" s="46">
        <v>15609</v>
      </c>
      <c r="BL18" s="46">
        <f t="shared" si="2"/>
        <v>20763</v>
      </c>
      <c r="BM18" s="46">
        <v>19748</v>
      </c>
      <c r="BN18" s="46">
        <v>80475</v>
      </c>
      <c r="BO18" s="46">
        <f t="shared" si="24"/>
        <v>100223</v>
      </c>
      <c r="BP18" s="46">
        <v>24321</v>
      </c>
      <c r="BQ18" s="46">
        <v>118510</v>
      </c>
      <c r="BR18" s="46">
        <f t="shared" si="25"/>
        <v>142831</v>
      </c>
      <c r="BS18" s="46">
        <v>53359</v>
      </c>
      <c r="BT18" s="46">
        <v>300059</v>
      </c>
      <c r="BU18" s="46">
        <f t="shared" si="26"/>
        <v>353418</v>
      </c>
      <c r="BV18" s="46">
        <v>23522</v>
      </c>
      <c r="BW18" s="46">
        <v>550120</v>
      </c>
      <c r="BX18" s="46">
        <f t="shared" si="3"/>
        <v>573642</v>
      </c>
      <c r="BY18" s="46">
        <v>62901</v>
      </c>
      <c r="BZ18" s="46">
        <v>96293</v>
      </c>
      <c r="CA18" s="46">
        <f t="shared" si="27"/>
        <v>159194</v>
      </c>
      <c r="CB18" s="46">
        <v>62872</v>
      </c>
      <c r="CC18" s="46">
        <v>326653</v>
      </c>
      <c r="CD18" s="46">
        <f t="shared" si="28"/>
        <v>389525</v>
      </c>
      <c r="CE18" s="46">
        <v>197243</v>
      </c>
      <c r="CF18" s="46">
        <v>464810</v>
      </c>
      <c r="CG18" s="46">
        <f t="shared" si="29"/>
        <v>662053</v>
      </c>
      <c r="CH18" s="46">
        <v>9646</v>
      </c>
      <c r="CI18" s="46">
        <v>384069</v>
      </c>
      <c r="CJ18" s="46">
        <f t="shared" si="4"/>
        <v>393715</v>
      </c>
      <c r="CK18" s="46">
        <v>34529</v>
      </c>
      <c r="CL18" s="46">
        <v>495054</v>
      </c>
      <c r="CM18" s="46">
        <f t="shared" si="30"/>
        <v>529583</v>
      </c>
      <c r="CN18" s="46">
        <v>12362</v>
      </c>
      <c r="CO18" s="46">
        <v>48429</v>
      </c>
      <c r="CP18" s="46">
        <f t="shared" si="5"/>
        <v>60791</v>
      </c>
    </row>
    <row r="19" spans="1:94" ht="15" customHeight="1" x14ac:dyDescent="0.25">
      <c r="A19" s="47" t="s">
        <v>164</v>
      </c>
      <c r="B19" s="46"/>
      <c r="C19" s="46"/>
      <c r="D19" s="46">
        <f t="shared" si="0"/>
        <v>0</v>
      </c>
      <c r="E19" s="46"/>
      <c r="F19" s="46"/>
      <c r="G19" s="46">
        <f t="shared" si="6"/>
        <v>0</v>
      </c>
      <c r="H19" s="46">
        <v>375</v>
      </c>
      <c r="I19" s="46">
        <v>1163</v>
      </c>
      <c r="J19" s="46">
        <f t="shared" si="1"/>
        <v>1538</v>
      </c>
      <c r="K19" s="46"/>
      <c r="L19" s="46"/>
      <c r="M19" s="46">
        <f t="shared" si="7"/>
        <v>0</v>
      </c>
      <c r="N19" s="46">
        <v>1458</v>
      </c>
      <c r="O19" s="46"/>
      <c r="P19" s="46">
        <f t="shared" si="8"/>
        <v>1458</v>
      </c>
      <c r="Q19" s="46">
        <f>154+259</f>
        <v>413</v>
      </c>
      <c r="R19" s="46">
        <f>1749+1041</f>
        <v>2790</v>
      </c>
      <c r="S19" s="46">
        <f t="shared" si="9"/>
        <v>3203</v>
      </c>
      <c r="T19" s="46">
        <v>7637.85</v>
      </c>
      <c r="U19" s="46">
        <v>9335.15</v>
      </c>
      <c r="V19" s="46">
        <f t="shared" si="10"/>
        <v>16973</v>
      </c>
      <c r="W19" s="46">
        <v>2933</v>
      </c>
      <c r="X19" s="46">
        <v>999</v>
      </c>
      <c r="Y19" s="46">
        <f t="shared" si="11"/>
        <v>3932</v>
      </c>
      <c r="Z19" s="46">
        <f>-212.03+1093.88</f>
        <v>881.85000000000014</v>
      </c>
      <c r="AA19" s="46">
        <f>-775.1+3998.82</f>
        <v>3223.7200000000003</v>
      </c>
      <c r="AB19" s="46">
        <f t="shared" si="12"/>
        <v>4105.5700000000006</v>
      </c>
      <c r="AC19" s="46">
        <v>2354</v>
      </c>
      <c r="AD19" s="46"/>
      <c r="AE19" s="46">
        <f t="shared" si="13"/>
        <v>2354</v>
      </c>
      <c r="AF19" s="46"/>
      <c r="AG19" s="46"/>
      <c r="AH19" s="46">
        <f t="shared" si="14"/>
        <v>0</v>
      </c>
      <c r="AI19" s="46"/>
      <c r="AJ19" s="46"/>
      <c r="AK19" s="46">
        <f t="shared" si="15"/>
        <v>0</v>
      </c>
      <c r="AL19" s="46">
        <v>61</v>
      </c>
      <c r="AM19" s="46">
        <v>256</v>
      </c>
      <c r="AN19" s="46">
        <f t="shared" si="16"/>
        <v>317</v>
      </c>
      <c r="AO19" s="46">
        <v>529</v>
      </c>
      <c r="AP19" s="46">
        <v>2311</v>
      </c>
      <c r="AQ19" s="46">
        <f t="shared" ref="AQ19" si="31">AP19+AO19</f>
        <v>2840</v>
      </c>
      <c r="AR19" s="46"/>
      <c r="AS19" s="46"/>
      <c r="AT19" s="46">
        <f t="shared" si="18"/>
        <v>0</v>
      </c>
      <c r="AU19" s="46">
        <v>1129</v>
      </c>
      <c r="AV19" s="46">
        <v>7865</v>
      </c>
      <c r="AW19" s="46">
        <f t="shared" si="19"/>
        <v>8994</v>
      </c>
      <c r="AX19" s="46"/>
      <c r="AY19" s="46"/>
      <c r="AZ19" s="46">
        <f t="shared" si="20"/>
        <v>0</v>
      </c>
      <c r="BA19" s="46"/>
      <c r="BB19" s="46">
        <v>50</v>
      </c>
      <c r="BC19" s="46">
        <f t="shared" si="21"/>
        <v>50</v>
      </c>
      <c r="BD19" s="46"/>
      <c r="BE19" s="46"/>
      <c r="BF19" s="46">
        <f t="shared" si="22"/>
        <v>0</v>
      </c>
      <c r="BG19" s="46">
        <v>2130</v>
      </c>
      <c r="BH19" s="46">
        <v>2166</v>
      </c>
      <c r="BI19" s="46">
        <f t="shared" si="23"/>
        <v>4296</v>
      </c>
      <c r="BJ19" s="46"/>
      <c r="BK19" s="46"/>
      <c r="BL19" s="46">
        <f t="shared" si="2"/>
        <v>0</v>
      </c>
      <c r="BM19" s="46">
        <f>3371-198</f>
        <v>3173</v>
      </c>
      <c r="BN19" s="46">
        <f>13736-806</f>
        <v>12930</v>
      </c>
      <c r="BO19" s="46">
        <f t="shared" si="24"/>
        <v>16103</v>
      </c>
      <c r="BP19" s="46">
        <v>2771</v>
      </c>
      <c r="BQ19" s="46">
        <v>13501</v>
      </c>
      <c r="BR19" s="46">
        <f t="shared" si="25"/>
        <v>16272</v>
      </c>
      <c r="BS19" s="46">
        <v>21072</v>
      </c>
      <c r="BT19" s="46">
        <v>7455</v>
      </c>
      <c r="BU19" s="46">
        <f t="shared" si="26"/>
        <v>28527</v>
      </c>
      <c r="BV19" s="46"/>
      <c r="BW19" s="46"/>
      <c r="BX19" s="46">
        <f t="shared" si="3"/>
        <v>0</v>
      </c>
      <c r="BY19" s="46">
        <v>20796</v>
      </c>
      <c r="BZ19" s="46">
        <v>31836</v>
      </c>
      <c r="CA19" s="46">
        <f t="shared" si="27"/>
        <v>52632</v>
      </c>
      <c r="CB19" s="46">
        <f>5137+5919+931</f>
        <v>11987</v>
      </c>
      <c r="CC19" s="46">
        <f>26691+30754+4839</f>
        <v>62284</v>
      </c>
      <c r="CD19" s="46">
        <f t="shared" si="28"/>
        <v>74271</v>
      </c>
      <c r="CE19" s="46">
        <v>110591</v>
      </c>
      <c r="CF19" s="46">
        <v>254506</v>
      </c>
      <c r="CG19" s="46">
        <f t="shared" si="29"/>
        <v>365097</v>
      </c>
      <c r="CH19" s="46">
        <v>3588</v>
      </c>
      <c r="CI19" s="46">
        <v>142842</v>
      </c>
      <c r="CJ19" s="46">
        <f t="shared" si="4"/>
        <v>146430</v>
      </c>
      <c r="CK19" s="46">
        <v>13301</v>
      </c>
      <c r="CL19" s="46">
        <v>190703</v>
      </c>
      <c r="CM19" s="46">
        <f t="shared" si="30"/>
        <v>204004</v>
      </c>
      <c r="CN19" s="46">
        <v>102</v>
      </c>
      <c r="CO19" s="46">
        <v>398</v>
      </c>
      <c r="CP19" s="46">
        <f t="shared" si="5"/>
        <v>500</v>
      </c>
    </row>
    <row r="20" spans="1:94" s="49" customFormat="1" ht="15" customHeight="1" x14ac:dyDescent="0.25">
      <c r="A20" s="45" t="s">
        <v>165</v>
      </c>
      <c r="B20" s="48">
        <f t="shared" ref="B20:AG20" si="32">SUM(B6:B19)</f>
        <v>20608</v>
      </c>
      <c r="C20" s="48">
        <f t="shared" si="32"/>
        <v>54794</v>
      </c>
      <c r="D20" s="48">
        <f t="shared" si="32"/>
        <v>75402</v>
      </c>
      <c r="E20" s="48">
        <f t="shared" si="32"/>
        <v>28271</v>
      </c>
      <c r="F20" s="48">
        <f t="shared" si="32"/>
        <v>98307</v>
      </c>
      <c r="G20" s="48">
        <f t="shared" si="32"/>
        <v>126578</v>
      </c>
      <c r="H20" s="48">
        <f t="shared" si="32"/>
        <v>238963</v>
      </c>
      <c r="I20" s="48">
        <f t="shared" si="32"/>
        <v>741642</v>
      </c>
      <c r="J20" s="48">
        <f t="shared" si="32"/>
        <v>980605</v>
      </c>
      <c r="K20" s="48">
        <f t="shared" si="32"/>
        <v>445853</v>
      </c>
      <c r="L20" s="48">
        <f t="shared" si="32"/>
        <v>1464007</v>
      </c>
      <c r="M20" s="48">
        <f t="shared" si="32"/>
        <v>1909860</v>
      </c>
      <c r="N20" s="48">
        <f t="shared" si="32"/>
        <v>81880</v>
      </c>
      <c r="O20" s="48">
        <f t="shared" si="32"/>
        <v>205714</v>
      </c>
      <c r="P20" s="48">
        <f t="shared" si="32"/>
        <v>287594</v>
      </c>
      <c r="Q20" s="48">
        <f t="shared" si="32"/>
        <v>141456</v>
      </c>
      <c r="R20" s="48">
        <f t="shared" si="32"/>
        <v>954993</v>
      </c>
      <c r="S20" s="48">
        <f t="shared" si="32"/>
        <v>1096449</v>
      </c>
      <c r="T20" s="48">
        <f t="shared" si="32"/>
        <v>567544.69000000006</v>
      </c>
      <c r="U20" s="48">
        <f t="shared" si="32"/>
        <v>693665.74000000011</v>
      </c>
      <c r="V20" s="48">
        <f t="shared" si="32"/>
        <v>1261210.4300000002</v>
      </c>
      <c r="W20" s="48">
        <f t="shared" si="32"/>
        <v>7473</v>
      </c>
      <c r="X20" s="48">
        <f t="shared" si="32"/>
        <v>20415</v>
      </c>
      <c r="Y20" s="48">
        <f t="shared" si="32"/>
        <v>27888</v>
      </c>
      <c r="Z20" s="48">
        <f t="shared" si="32"/>
        <v>115435.14</v>
      </c>
      <c r="AA20" s="48">
        <f t="shared" si="32"/>
        <v>421988.92999999993</v>
      </c>
      <c r="AB20" s="48">
        <f t="shared" si="32"/>
        <v>537424.06999999995</v>
      </c>
      <c r="AC20" s="48">
        <f t="shared" si="32"/>
        <v>136081</v>
      </c>
      <c r="AD20" s="48">
        <f t="shared" si="32"/>
        <v>513411</v>
      </c>
      <c r="AE20" s="48">
        <f t="shared" si="32"/>
        <v>649492</v>
      </c>
      <c r="AF20" s="48">
        <f t="shared" si="32"/>
        <v>314759</v>
      </c>
      <c r="AG20" s="48">
        <f t="shared" si="32"/>
        <v>1241673</v>
      </c>
      <c r="AH20" s="48">
        <f t="shared" ref="AH20:BM20" si="33">SUM(AH6:AH19)</f>
        <v>1556432</v>
      </c>
      <c r="AI20" s="48">
        <f t="shared" si="33"/>
        <v>762195</v>
      </c>
      <c r="AJ20" s="48">
        <f t="shared" si="33"/>
        <v>2570930</v>
      </c>
      <c r="AK20" s="48">
        <f t="shared" si="33"/>
        <v>3333125</v>
      </c>
      <c r="AL20" s="48">
        <f t="shared" si="33"/>
        <v>196641</v>
      </c>
      <c r="AM20" s="48">
        <f t="shared" si="33"/>
        <v>839192</v>
      </c>
      <c r="AN20" s="48">
        <f t="shared" si="33"/>
        <v>1035833</v>
      </c>
      <c r="AO20" s="48">
        <f t="shared" si="33"/>
        <v>19797</v>
      </c>
      <c r="AP20" s="48">
        <f t="shared" si="33"/>
        <v>96161</v>
      </c>
      <c r="AQ20" s="48">
        <f t="shared" si="33"/>
        <v>115958</v>
      </c>
      <c r="AR20" s="48">
        <f t="shared" si="33"/>
        <v>72374</v>
      </c>
      <c r="AS20" s="48">
        <f t="shared" si="33"/>
        <v>204723</v>
      </c>
      <c r="AT20" s="48">
        <f t="shared" si="33"/>
        <v>277097</v>
      </c>
      <c r="AU20" s="48">
        <f t="shared" si="33"/>
        <v>43093</v>
      </c>
      <c r="AV20" s="48">
        <f t="shared" si="33"/>
        <v>300098</v>
      </c>
      <c r="AW20" s="48">
        <f t="shared" si="33"/>
        <v>343191</v>
      </c>
      <c r="AX20" s="48">
        <f t="shared" si="33"/>
        <v>25742.89</v>
      </c>
      <c r="AY20" s="48">
        <f t="shared" si="33"/>
        <v>53884.94</v>
      </c>
      <c r="AZ20" s="48">
        <f t="shared" si="33"/>
        <v>79627.829999999987</v>
      </c>
      <c r="BA20" s="48">
        <f t="shared" si="33"/>
        <v>64393</v>
      </c>
      <c r="BB20" s="48">
        <f t="shared" si="33"/>
        <v>141641</v>
      </c>
      <c r="BC20" s="48">
        <f t="shared" si="33"/>
        <v>206034</v>
      </c>
      <c r="BD20" s="48">
        <f t="shared" si="33"/>
        <v>246846.46000000002</v>
      </c>
      <c r="BE20" s="48">
        <f t="shared" si="33"/>
        <v>2350790.9700000002</v>
      </c>
      <c r="BF20" s="48">
        <f t="shared" si="33"/>
        <v>2597637.4299999992</v>
      </c>
      <c r="BG20" s="48">
        <f t="shared" si="33"/>
        <v>13540</v>
      </c>
      <c r="BH20" s="48">
        <f t="shared" si="33"/>
        <v>18675</v>
      </c>
      <c r="BI20" s="48">
        <f t="shared" si="33"/>
        <v>32215</v>
      </c>
      <c r="BJ20" s="48">
        <f t="shared" si="33"/>
        <v>17880</v>
      </c>
      <c r="BK20" s="48">
        <f t="shared" si="33"/>
        <v>54149</v>
      </c>
      <c r="BL20" s="48">
        <f t="shared" si="33"/>
        <v>72029</v>
      </c>
      <c r="BM20" s="48">
        <f t="shared" si="33"/>
        <v>221828</v>
      </c>
      <c r="BN20" s="48">
        <f t="shared" ref="BN20:CP20" si="34">SUM(BN6:BN19)</f>
        <v>903963</v>
      </c>
      <c r="BO20" s="48">
        <f t="shared" si="34"/>
        <v>1125791</v>
      </c>
      <c r="BP20" s="48">
        <f t="shared" si="34"/>
        <v>91765</v>
      </c>
      <c r="BQ20" s="48">
        <f t="shared" si="34"/>
        <v>447152</v>
      </c>
      <c r="BR20" s="48">
        <f t="shared" si="34"/>
        <v>538917</v>
      </c>
      <c r="BS20" s="48">
        <f t="shared" si="34"/>
        <v>222390</v>
      </c>
      <c r="BT20" s="48">
        <f t="shared" si="34"/>
        <v>732588</v>
      </c>
      <c r="BU20" s="48">
        <f t="shared" si="34"/>
        <v>954978</v>
      </c>
      <c r="BV20" s="48">
        <f t="shared" si="34"/>
        <v>137127</v>
      </c>
      <c r="BW20" s="48">
        <f t="shared" si="34"/>
        <v>886448</v>
      </c>
      <c r="BX20" s="48">
        <f t="shared" si="34"/>
        <v>1023575</v>
      </c>
      <c r="BY20" s="48">
        <f t="shared" si="34"/>
        <v>372138</v>
      </c>
      <c r="BZ20" s="48">
        <f t="shared" si="34"/>
        <v>569694</v>
      </c>
      <c r="CA20" s="48">
        <f t="shared" si="34"/>
        <v>941832</v>
      </c>
      <c r="CB20" s="48">
        <f t="shared" si="34"/>
        <v>285020</v>
      </c>
      <c r="CC20" s="48">
        <f t="shared" si="34"/>
        <v>1480830</v>
      </c>
      <c r="CD20" s="48">
        <f t="shared" si="34"/>
        <v>1765850</v>
      </c>
      <c r="CE20" s="48">
        <f t="shared" si="34"/>
        <v>2033395</v>
      </c>
      <c r="CF20" s="48">
        <f t="shared" si="34"/>
        <v>4581555</v>
      </c>
      <c r="CG20" s="48">
        <f t="shared" si="34"/>
        <v>6614950</v>
      </c>
      <c r="CH20" s="48">
        <f t="shared" si="34"/>
        <v>60878</v>
      </c>
      <c r="CI20" s="48">
        <f t="shared" si="34"/>
        <v>2423910</v>
      </c>
      <c r="CJ20" s="48">
        <f t="shared" si="34"/>
        <v>2484788</v>
      </c>
      <c r="CK20" s="48">
        <f t="shared" si="34"/>
        <v>217443</v>
      </c>
      <c r="CL20" s="48">
        <f t="shared" si="34"/>
        <v>3117581</v>
      </c>
      <c r="CM20" s="48">
        <f t="shared" si="34"/>
        <v>3335024</v>
      </c>
      <c r="CN20" s="48">
        <f t="shared" si="34"/>
        <v>57353</v>
      </c>
      <c r="CO20" s="48">
        <f t="shared" si="34"/>
        <v>224684</v>
      </c>
      <c r="CP20" s="48">
        <f t="shared" si="34"/>
        <v>282037</v>
      </c>
    </row>
    <row r="21" spans="1:94" ht="15" customHeight="1" x14ac:dyDescent="0.25">
      <c r="A21" s="45" t="s">
        <v>166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</row>
    <row r="22" spans="1:94" ht="30" x14ac:dyDescent="0.25">
      <c r="A22" s="47" t="s">
        <v>155</v>
      </c>
      <c r="B22" s="46"/>
      <c r="C22" s="46"/>
      <c r="D22" s="46">
        <f t="shared" ref="D22:D35" si="35">B22+C22</f>
        <v>0</v>
      </c>
      <c r="E22" s="46">
        <v>2429</v>
      </c>
      <c r="F22" s="46">
        <v>2451</v>
      </c>
      <c r="G22" s="46">
        <f t="shared" ref="G22:G35" si="36">F22+E22</f>
        <v>4880</v>
      </c>
      <c r="H22" s="46">
        <v>975</v>
      </c>
      <c r="I22" s="46">
        <v>3026</v>
      </c>
      <c r="J22" s="46">
        <f t="shared" ref="J22:J23" si="37">I22+H22</f>
        <v>4001</v>
      </c>
      <c r="K22" s="46"/>
      <c r="L22" s="46">
        <v>7534</v>
      </c>
      <c r="M22" s="46">
        <f t="shared" ref="M22:M35" si="38">L22+K22</f>
        <v>7534</v>
      </c>
      <c r="N22" s="46">
        <v>497</v>
      </c>
      <c r="O22" s="46">
        <v>6004</v>
      </c>
      <c r="P22" s="46">
        <f t="shared" ref="P22:P35" si="39">O22+N22</f>
        <v>6501</v>
      </c>
      <c r="Q22" s="46">
        <v>476</v>
      </c>
      <c r="R22" s="46">
        <v>3214</v>
      </c>
      <c r="S22" s="46">
        <f t="shared" ref="S22:S35" si="40">R22+Q22</f>
        <v>3690</v>
      </c>
      <c r="T22" s="46">
        <v>15678.32</v>
      </c>
      <c r="U22" s="46">
        <v>19162.39</v>
      </c>
      <c r="V22" s="46">
        <f t="shared" ref="V22:V35" si="41">U22+T22</f>
        <v>34840.71</v>
      </c>
      <c r="W22" s="46"/>
      <c r="X22" s="46">
        <v>1050</v>
      </c>
      <c r="Y22" s="46">
        <f t="shared" ref="Y22:Y35" si="42">X22+W22</f>
        <v>1050</v>
      </c>
      <c r="Z22" s="46">
        <v>1743.81</v>
      </c>
      <c r="AA22" s="46">
        <v>6374.75</v>
      </c>
      <c r="AB22" s="46">
        <f t="shared" ref="AB22:AB35" si="43">AA22+Z22</f>
        <v>8118.5599999999995</v>
      </c>
      <c r="AC22" s="46">
        <v>9918</v>
      </c>
      <c r="AD22" s="46">
        <v>8773</v>
      </c>
      <c r="AE22" s="46">
        <f t="shared" ref="AE22:AE35" si="44">AD22+AC22</f>
        <v>18691</v>
      </c>
      <c r="AF22" s="46">
        <v>6305</v>
      </c>
      <c r="AG22" s="46">
        <v>24873</v>
      </c>
      <c r="AH22" s="46">
        <f t="shared" ref="AH22:AH35" si="45">AG22+AF22</f>
        <v>31178</v>
      </c>
      <c r="AI22" s="46">
        <v>11052</v>
      </c>
      <c r="AJ22" s="46">
        <v>36761</v>
      </c>
      <c r="AK22" s="46">
        <f t="shared" ref="AK22:AK35" si="46">AJ22+AI22</f>
        <v>47813</v>
      </c>
      <c r="AL22" s="46">
        <v>2126</v>
      </c>
      <c r="AM22" s="46">
        <v>9075</v>
      </c>
      <c r="AN22" s="46">
        <f t="shared" ref="AN22:AN35" si="47">AM22+AL22</f>
        <v>11201</v>
      </c>
      <c r="AO22" s="46">
        <v>279</v>
      </c>
      <c r="AP22" s="46">
        <v>1220</v>
      </c>
      <c r="AQ22" s="46">
        <f t="shared" ref="AQ22:AQ35" si="48">AP22+AO22</f>
        <v>1499</v>
      </c>
      <c r="AR22" s="46">
        <v>2617</v>
      </c>
      <c r="AS22" s="46">
        <v>7404</v>
      </c>
      <c r="AT22" s="46">
        <f t="shared" ref="AT22:AT35" si="49">AS22+AR22</f>
        <v>10021</v>
      </c>
      <c r="AU22" s="46"/>
      <c r="AV22" s="46"/>
      <c r="AW22" s="46">
        <f t="shared" ref="AW22:AW35" si="50">AV22+AU22</f>
        <v>0</v>
      </c>
      <c r="AX22" s="46">
        <v>982.86</v>
      </c>
      <c r="AY22" s="46">
        <v>2506.4</v>
      </c>
      <c r="AZ22" s="46">
        <f t="shared" ref="AZ22:AZ35" si="51">AY22+AX22</f>
        <v>3489.26</v>
      </c>
      <c r="BA22" s="46">
        <v>1018</v>
      </c>
      <c r="BB22" s="46">
        <v>3478</v>
      </c>
      <c r="BC22" s="46">
        <f t="shared" ref="BC22:BC35" si="52">BB22+BA22</f>
        <v>4496</v>
      </c>
      <c r="BD22" s="46">
        <v>17419.07</v>
      </c>
      <c r="BE22" s="46">
        <v>165886.93</v>
      </c>
      <c r="BF22" s="46">
        <f t="shared" ref="BF22:BF35" si="53">BE22+BD22</f>
        <v>183306</v>
      </c>
      <c r="BG22" s="46">
        <v>1496</v>
      </c>
      <c r="BH22" s="46">
        <v>15968</v>
      </c>
      <c r="BI22" s="46">
        <f t="shared" ref="BI22:BI35" si="54">BH22+BG22</f>
        <v>17464</v>
      </c>
      <c r="BJ22" s="46"/>
      <c r="BK22" s="46"/>
      <c r="BL22" s="46">
        <f t="shared" ref="BL22" si="55">BK22+BJ22</f>
        <v>0</v>
      </c>
      <c r="BM22" s="46"/>
      <c r="BN22" s="46"/>
      <c r="BO22" s="46">
        <f t="shared" ref="BO22:BO35" si="56">BN22+BM22</f>
        <v>0</v>
      </c>
      <c r="BP22" s="46">
        <v>1712</v>
      </c>
      <c r="BQ22" s="46">
        <v>8341</v>
      </c>
      <c r="BR22" s="46">
        <f t="shared" ref="BR22:BR35" si="57">BQ22+BP22</f>
        <v>10053</v>
      </c>
      <c r="BS22" s="46"/>
      <c r="BT22" s="46"/>
      <c r="BU22" s="46">
        <f t="shared" ref="BU22:BU35" si="58">BT22+BS22</f>
        <v>0</v>
      </c>
      <c r="BV22" s="46"/>
      <c r="BW22" s="46"/>
      <c r="BX22" s="46">
        <f t="shared" ref="BX22:BX23" si="59">BW22+BV22</f>
        <v>0</v>
      </c>
      <c r="BY22" s="46">
        <v>12454</v>
      </c>
      <c r="BZ22" s="46">
        <v>19066</v>
      </c>
      <c r="CA22" s="46">
        <f t="shared" ref="CA22:CA35" si="60">BZ22+BY22</f>
        <v>31520</v>
      </c>
      <c r="CB22" s="46"/>
      <c r="CC22" s="46"/>
      <c r="CD22" s="46">
        <f t="shared" ref="CD22:CD35" si="61">CC22+CB22</f>
        <v>0</v>
      </c>
      <c r="CE22" s="46">
        <v>67389</v>
      </c>
      <c r="CF22" s="46">
        <v>158804</v>
      </c>
      <c r="CG22" s="46">
        <f t="shared" ref="CG22:CG35" si="62">CF22+CE22</f>
        <v>226193</v>
      </c>
      <c r="CH22" s="46">
        <v>1204.1300000000001</v>
      </c>
      <c r="CI22" s="46">
        <v>47944</v>
      </c>
      <c r="CJ22" s="46">
        <f t="shared" ref="CJ22:CJ35" si="63">CI22+CH22</f>
        <v>49148.13</v>
      </c>
      <c r="CK22" s="46">
        <v>4458</v>
      </c>
      <c r="CL22" s="46">
        <v>63921</v>
      </c>
      <c r="CM22" s="46">
        <f t="shared" ref="CM22:CM35" si="64">CL22+CK22</f>
        <v>68379</v>
      </c>
      <c r="CN22" s="46">
        <v>2150</v>
      </c>
      <c r="CO22" s="46">
        <v>8424</v>
      </c>
      <c r="CP22" s="46">
        <f t="shared" ref="CP22" si="65">CO22+CN22</f>
        <v>10574</v>
      </c>
    </row>
    <row r="23" spans="1:94" ht="15" customHeight="1" x14ac:dyDescent="0.25">
      <c r="A23" s="47" t="s">
        <v>156</v>
      </c>
      <c r="B23" s="46"/>
      <c r="C23" s="46"/>
      <c r="D23" s="46">
        <f t="shared" si="35"/>
        <v>0</v>
      </c>
      <c r="E23" s="46">
        <v>1013</v>
      </c>
      <c r="F23" s="46">
        <v>502</v>
      </c>
      <c r="G23" s="46">
        <f t="shared" si="36"/>
        <v>1515</v>
      </c>
      <c r="H23" s="46">
        <v>2104</v>
      </c>
      <c r="I23" s="46">
        <v>6529</v>
      </c>
      <c r="J23" s="46">
        <f t="shared" si="37"/>
        <v>8633</v>
      </c>
      <c r="K23" s="46"/>
      <c r="L23" s="46"/>
      <c r="M23" s="46">
        <f t="shared" si="38"/>
        <v>0</v>
      </c>
      <c r="N23" s="46">
        <v>651</v>
      </c>
      <c r="O23" s="46">
        <v>1501</v>
      </c>
      <c r="P23" s="46">
        <f t="shared" si="39"/>
        <v>2152</v>
      </c>
      <c r="Q23" s="46"/>
      <c r="R23" s="46"/>
      <c r="S23" s="46">
        <f t="shared" si="40"/>
        <v>0</v>
      </c>
      <c r="T23" s="46"/>
      <c r="U23" s="46"/>
      <c r="V23" s="46">
        <f t="shared" si="41"/>
        <v>0</v>
      </c>
      <c r="W23" s="46">
        <v>862</v>
      </c>
      <c r="X23" s="46">
        <v>3214</v>
      </c>
      <c r="Y23" s="46">
        <f t="shared" si="42"/>
        <v>4076</v>
      </c>
      <c r="Z23" s="46"/>
      <c r="AA23" s="46"/>
      <c r="AB23" s="46">
        <f t="shared" si="43"/>
        <v>0</v>
      </c>
      <c r="AC23" s="46"/>
      <c r="AD23" s="46">
        <v>4049</v>
      </c>
      <c r="AE23" s="46">
        <f t="shared" si="44"/>
        <v>4049</v>
      </c>
      <c r="AF23" s="46">
        <v>7824</v>
      </c>
      <c r="AG23" s="46">
        <v>30864</v>
      </c>
      <c r="AH23" s="46">
        <f t="shared" si="45"/>
        <v>38688</v>
      </c>
      <c r="AI23" s="46">
        <v>20047</v>
      </c>
      <c r="AJ23" s="46">
        <v>66680</v>
      </c>
      <c r="AK23" s="46">
        <f t="shared" si="46"/>
        <v>86727</v>
      </c>
      <c r="AL23" s="46">
        <v>21739</v>
      </c>
      <c r="AM23" s="46">
        <v>92775</v>
      </c>
      <c r="AN23" s="46">
        <f t="shared" si="47"/>
        <v>114514</v>
      </c>
      <c r="AO23" s="46"/>
      <c r="AP23" s="46"/>
      <c r="AQ23" s="46">
        <f t="shared" si="48"/>
        <v>0</v>
      </c>
      <c r="AR23" s="46">
        <v>1049</v>
      </c>
      <c r="AS23" s="46">
        <v>2968</v>
      </c>
      <c r="AT23" s="46">
        <f t="shared" si="49"/>
        <v>4017</v>
      </c>
      <c r="AU23" s="46"/>
      <c r="AV23" s="46"/>
      <c r="AW23" s="46">
        <f t="shared" si="50"/>
        <v>0</v>
      </c>
      <c r="AX23" s="46"/>
      <c r="AY23" s="46"/>
      <c r="AZ23" s="46">
        <f t="shared" si="51"/>
        <v>0</v>
      </c>
      <c r="BA23" s="46"/>
      <c r="BB23" s="46">
        <v>505</v>
      </c>
      <c r="BC23" s="46">
        <f t="shared" si="52"/>
        <v>505</v>
      </c>
      <c r="BD23" s="46"/>
      <c r="BE23" s="46"/>
      <c r="BF23" s="46">
        <f t="shared" si="53"/>
        <v>0</v>
      </c>
      <c r="BG23" s="46"/>
      <c r="BH23" s="46"/>
      <c r="BI23" s="46">
        <f t="shared" si="54"/>
        <v>0</v>
      </c>
      <c r="BJ23" s="46"/>
      <c r="BK23" s="46"/>
      <c r="BL23" s="46">
        <f t="shared" ref="BL23:BL35" si="66">BK23+BJ23</f>
        <v>0</v>
      </c>
      <c r="BM23" s="46">
        <v>519</v>
      </c>
      <c r="BN23" s="46">
        <v>2114</v>
      </c>
      <c r="BO23" s="46">
        <f t="shared" si="56"/>
        <v>2633</v>
      </c>
      <c r="BP23" s="46"/>
      <c r="BQ23" s="46"/>
      <c r="BR23" s="46">
        <f t="shared" si="57"/>
        <v>0</v>
      </c>
      <c r="BS23" s="46"/>
      <c r="BT23" s="46">
        <v>5825</v>
      </c>
      <c r="BU23" s="46">
        <f t="shared" si="58"/>
        <v>5825</v>
      </c>
      <c r="BV23" s="46">
        <v>1800</v>
      </c>
      <c r="BW23" s="46">
        <v>16669</v>
      </c>
      <c r="BX23" s="46">
        <f t="shared" si="59"/>
        <v>18469</v>
      </c>
      <c r="BY23" s="46">
        <v>6424</v>
      </c>
      <c r="BZ23" s="46">
        <v>9834</v>
      </c>
      <c r="CA23" s="46">
        <f t="shared" si="60"/>
        <v>16258</v>
      </c>
      <c r="CB23" s="46"/>
      <c r="CC23" s="46"/>
      <c r="CD23" s="46">
        <f t="shared" si="61"/>
        <v>0</v>
      </c>
      <c r="CE23" s="46"/>
      <c r="CF23" s="46"/>
      <c r="CG23" s="46">
        <f t="shared" si="62"/>
        <v>0</v>
      </c>
      <c r="CH23" s="46"/>
      <c r="CI23" s="46"/>
      <c r="CJ23" s="46">
        <f t="shared" si="63"/>
        <v>0</v>
      </c>
      <c r="CK23" s="46"/>
      <c r="CL23" s="46"/>
      <c r="CM23" s="46"/>
      <c r="CN23" s="46"/>
      <c r="CO23" s="46"/>
      <c r="CP23" s="46">
        <f t="shared" ref="CP23:CP35" si="67">CO23+CN23</f>
        <v>0</v>
      </c>
    </row>
    <row r="24" spans="1:94" ht="15" customHeight="1" x14ac:dyDescent="0.25">
      <c r="A24" s="47" t="s">
        <v>157</v>
      </c>
      <c r="B24" s="46"/>
      <c r="C24" s="46"/>
      <c r="D24" s="46">
        <f t="shared" si="35"/>
        <v>0</v>
      </c>
      <c r="E24" s="46"/>
      <c r="F24" s="46"/>
      <c r="G24" s="46">
        <f t="shared" si="36"/>
        <v>0</v>
      </c>
      <c r="H24" s="46"/>
      <c r="I24" s="46"/>
      <c r="J24" s="46">
        <f t="shared" ref="J24:J35" si="68">I24+H24</f>
        <v>0</v>
      </c>
      <c r="K24" s="46"/>
      <c r="L24" s="46"/>
      <c r="M24" s="46">
        <f t="shared" si="38"/>
        <v>0</v>
      </c>
      <c r="N24" s="46"/>
      <c r="O24" s="46"/>
      <c r="P24" s="46">
        <f t="shared" si="39"/>
        <v>0</v>
      </c>
      <c r="Q24" s="46"/>
      <c r="R24" s="46"/>
      <c r="S24" s="46">
        <f t="shared" si="40"/>
        <v>0</v>
      </c>
      <c r="T24" s="46"/>
      <c r="U24" s="46"/>
      <c r="V24" s="46">
        <f t="shared" si="41"/>
        <v>0</v>
      </c>
      <c r="W24" s="46"/>
      <c r="X24" s="46"/>
      <c r="Y24" s="46">
        <f t="shared" si="42"/>
        <v>0</v>
      </c>
      <c r="Z24" s="46"/>
      <c r="AA24" s="46"/>
      <c r="AB24" s="46">
        <f t="shared" si="43"/>
        <v>0</v>
      </c>
      <c r="AC24" s="46"/>
      <c r="AD24" s="46"/>
      <c r="AE24" s="46">
        <f t="shared" si="44"/>
        <v>0</v>
      </c>
      <c r="AF24" s="46"/>
      <c r="AG24" s="46"/>
      <c r="AH24" s="46">
        <f t="shared" si="45"/>
        <v>0</v>
      </c>
      <c r="AI24" s="46"/>
      <c r="AJ24" s="46"/>
      <c r="AK24" s="46">
        <f t="shared" si="46"/>
        <v>0</v>
      </c>
      <c r="AL24" s="46"/>
      <c r="AM24" s="46"/>
      <c r="AN24" s="46">
        <f t="shared" si="47"/>
        <v>0</v>
      </c>
      <c r="AO24" s="46"/>
      <c r="AP24" s="46"/>
      <c r="AQ24" s="46">
        <f t="shared" si="48"/>
        <v>0</v>
      </c>
      <c r="AR24" s="46"/>
      <c r="AS24" s="46"/>
      <c r="AT24" s="46">
        <f t="shared" si="49"/>
        <v>0</v>
      </c>
      <c r="AU24" s="46"/>
      <c r="AV24" s="46"/>
      <c r="AW24" s="46">
        <f t="shared" si="50"/>
        <v>0</v>
      </c>
      <c r="AX24" s="46"/>
      <c r="AY24" s="46"/>
      <c r="AZ24" s="46">
        <f t="shared" si="51"/>
        <v>0</v>
      </c>
      <c r="BA24" s="46"/>
      <c r="BB24" s="46"/>
      <c r="BC24" s="46">
        <f t="shared" si="52"/>
        <v>0</v>
      </c>
      <c r="BD24" s="46"/>
      <c r="BE24" s="46"/>
      <c r="BF24" s="46">
        <f t="shared" si="53"/>
        <v>0</v>
      </c>
      <c r="BG24" s="46"/>
      <c r="BH24" s="46"/>
      <c r="BI24" s="46">
        <f t="shared" si="54"/>
        <v>0</v>
      </c>
      <c r="BJ24" s="46"/>
      <c r="BK24" s="46"/>
      <c r="BL24" s="46">
        <f t="shared" si="66"/>
        <v>0</v>
      </c>
      <c r="BM24" s="46"/>
      <c r="BN24" s="46"/>
      <c r="BO24" s="46">
        <f t="shared" si="56"/>
        <v>0</v>
      </c>
      <c r="BP24" s="46"/>
      <c r="BQ24" s="46"/>
      <c r="BR24" s="46">
        <f t="shared" si="57"/>
        <v>0</v>
      </c>
      <c r="BS24" s="46"/>
      <c r="BT24" s="46"/>
      <c r="BU24" s="46">
        <f t="shared" si="58"/>
        <v>0</v>
      </c>
      <c r="BV24" s="46"/>
      <c r="BW24" s="46"/>
      <c r="BX24" s="46">
        <f t="shared" ref="BX24:BX34" si="69">BW24+BV24</f>
        <v>0</v>
      </c>
      <c r="BY24" s="46"/>
      <c r="BZ24" s="46"/>
      <c r="CA24" s="46">
        <f t="shared" si="60"/>
        <v>0</v>
      </c>
      <c r="CB24" s="46"/>
      <c r="CC24" s="46"/>
      <c r="CD24" s="46">
        <f t="shared" si="61"/>
        <v>0</v>
      </c>
      <c r="CE24" s="46"/>
      <c r="CF24" s="46"/>
      <c r="CG24" s="46">
        <f t="shared" si="62"/>
        <v>0</v>
      </c>
      <c r="CH24" s="46"/>
      <c r="CI24" s="46"/>
      <c r="CJ24" s="46">
        <f t="shared" si="63"/>
        <v>0</v>
      </c>
      <c r="CK24" s="46"/>
      <c r="CL24" s="46"/>
      <c r="CM24" s="46">
        <f t="shared" si="64"/>
        <v>0</v>
      </c>
      <c r="CN24" s="46"/>
      <c r="CO24" s="46"/>
      <c r="CP24" s="46">
        <f t="shared" si="67"/>
        <v>0</v>
      </c>
    </row>
    <row r="25" spans="1:94" ht="15" customHeight="1" x14ac:dyDescent="0.25">
      <c r="A25" s="47" t="s">
        <v>158</v>
      </c>
      <c r="B25" s="46"/>
      <c r="C25" s="46"/>
      <c r="D25" s="46">
        <f t="shared" si="35"/>
        <v>0</v>
      </c>
      <c r="E25" s="46"/>
      <c r="F25" s="46"/>
      <c r="G25" s="46">
        <f t="shared" si="36"/>
        <v>0</v>
      </c>
      <c r="H25" s="46"/>
      <c r="I25" s="46"/>
      <c r="J25" s="46">
        <f t="shared" si="68"/>
        <v>0</v>
      </c>
      <c r="K25" s="46"/>
      <c r="L25" s="46"/>
      <c r="M25" s="46">
        <f t="shared" si="38"/>
        <v>0</v>
      </c>
      <c r="N25" s="46"/>
      <c r="O25" s="46"/>
      <c r="P25" s="46">
        <f t="shared" si="39"/>
        <v>0</v>
      </c>
      <c r="Q25" s="46"/>
      <c r="R25" s="46"/>
      <c r="S25" s="46">
        <f t="shared" si="40"/>
        <v>0</v>
      </c>
      <c r="T25" s="46"/>
      <c r="U25" s="46"/>
      <c r="V25" s="46">
        <f t="shared" si="41"/>
        <v>0</v>
      </c>
      <c r="W25" s="46"/>
      <c r="X25" s="46"/>
      <c r="Y25" s="46">
        <f t="shared" si="42"/>
        <v>0</v>
      </c>
      <c r="Z25" s="46"/>
      <c r="AA25" s="46"/>
      <c r="AB25" s="46">
        <f t="shared" si="43"/>
        <v>0</v>
      </c>
      <c r="AC25" s="46"/>
      <c r="AD25" s="46"/>
      <c r="AE25" s="46">
        <f t="shared" si="44"/>
        <v>0</v>
      </c>
      <c r="AF25" s="46"/>
      <c r="AG25" s="46"/>
      <c r="AH25" s="46">
        <f t="shared" si="45"/>
        <v>0</v>
      </c>
      <c r="AI25" s="46"/>
      <c r="AJ25" s="46"/>
      <c r="AK25" s="46">
        <f t="shared" si="46"/>
        <v>0</v>
      </c>
      <c r="AL25" s="46"/>
      <c r="AM25" s="46"/>
      <c r="AN25" s="46">
        <f t="shared" si="47"/>
        <v>0</v>
      </c>
      <c r="AO25" s="46"/>
      <c r="AP25" s="46"/>
      <c r="AQ25" s="46">
        <f t="shared" si="48"/>
        <v>0</v>
      </c>
      <c r="AR25" s="46"/>
      <c r="AS25" s="46"/>
      <c r="AT25" s="46">
        <f t="shared" si="49"/>
        <v>0</v>
      </c>
      <c r="AU25" s="46"/>
      <c r="AV25" s="46"/>
      <c r="AW25" s="46">
        <f t="shared" si="50"/>
        <v>0</v>
      </c>
      <c r="AX25" s="46"/>
      <c r="AY25" s="46"/>
      <c r="AZ25" s="46">
        <f t="shared" si="51"/>
        <v>0</v>
      </c>
      <c r="BA25" s="46"/>
      <c r="BB25" s="46"/>
      <c r="BC25" s="46">
        <f t="shared" si="52"/>
        <v>0</v>
      </c>
      <c r="BD25" s="46"/>
      <c r="BE25" s="46"/>
      <c r="BF25" s="46">
        <f t="shared" si="53"/>
        <v>0</v>
      </c>
      <c r="BG25" s="46"/>
      <c r="BH25" s="46"/>
      <c r="BI25" s="46">
        <f t="shared" si="54"/>
        <v>0</v>
      </c>
      <c r="BJ25" s="46"/>
      <c r="BK25" s="46"/>
      <c r="BL25" s="46">
        <f t="shared" si="66"/>
        <v>0</v>
      </c>
      <c r="BM25" s="46"/>
      <c r="BN25" s="46"/>
      <c r="BO25" s="46">
        <f t="shared" si="56"/>
        <v>0</v>
      </c>
      <c r="BP25" s="46"/>
      <c r="BQ25" s="46"/>
      <c r="BR25" s="46">
        <f t="shared" si="57"/>
        <v>0</v>
      </c>
      <c r="BS25" s="46"/>
      <c r="BT25" s="46"/>
      <c r="BU25" s="46">
        <f t="shared" si="58"/>
        <v>0</v>
      </c>
      <c r="BV25" s="46"/>
      <c r="BW25" s="46"/>
      <c r="BX25" s="46">
        <f t="shared" si="69"/>
        <v>0</v>
      </c>
      <c r="BY25" s="46"/>
      <c r="BZ25" s="46"/>
      <c r="CA25" s="46">
        <f t="shared" si="60"/>
        <v>0</v>
      </c>
      <c r="CB25" s="46"/>
      <c r="CC25" s="46"/>
      <c r="CD25" s="46">
        <f t="shared" si="61"/>
        <v>0</v>
      </c>
      <c r="CE25" s="46"/>
      <c r="CF25" s="46"/>
      <c r="CG25" s="46">
        <f t="shared" si="62"/>
        <v>0</v>
      </c>
      <c r="CH25" s="46"/>
      <c r="CI25" s="46"/>
      <c r="CJ25" s="46">
        <f t="shared" si="63"/>
        <v>0</v>
      </c>
      <c r="CK25" s="46"/>
      <c r="CL25" s="46"/>
      <c r="CM25" s="46">
        <f t="shared" si="64"/>
        <v>0</v>
      </c>
      <c r="CN25" s="46"/>
      <c r="CO25" s="46"/>
      <c r="CP25" s="46">
        <f t="shared" si="67"/>
        <v>0</v>
      </c>
    </row>
    <row r="26" spans="1:94" ht="15" customHeight="1" x14ac:dyDescent="0.25">
      <c r="A26" s="47" t="s">
        <v>159</v>
      </c>
      <c r="B26" s="46"/>
      <c r="C26" s="46"/>
      <c r="D26" s="46">
        <f t="shared" si="35"/>
        <v>0</v>
      </c>
      <c r="E26" s="46"/>
      <c r="F26" s="46"/>
      <c r="G26" s="46">
        <f t="shared" si="36"/>
        <v>0</v>
      </c>
      <c r="H26" s="46"/>
      <c r="I26" s="46"/>
      <c r="J26" s="46">
        <f t="shared" si="68"/>
        <v>0</v>
      </c>
      <c r="K26" s="46"/>
      <c r="L26" s="46"/>
      <c r="M26" s="46">
        <f t="shared" si="38"/>
        <v>0</v>
      </c>
      <c r="N26" s="46"/>
      <c r="O26" s="46"/>
      <c r="P26" s="46">
        <f t="shared" si="39"/>
        <v>0</v>
      </c>
      <c r="Q26" s="46"/>
      <c r="R26" s="46"/>
      <c r="S26" s="46">
        <f t="shared" si="40"/>
        <v>0</v>
      </c>
      <c r="T26" s="46"/>
      <c r="U26" s="46"/>
      <c r="V26" s="46">
        <f t="shared" si="41"/>
        <v>0</v>
      </c>
      <c r="W26" s="46">
        <v>746</v>
      </c>
      <c r="X26" s="46">
        <v>3111</v>
      </c>
      <c r="Y26" s="46">
        <f t="shared" si="42"/>
        <v>3857</v>
      </c>
      <c r="Z26" s="46"/>
      <c r="AA26" s="46"/>
      <c r="AB26" s="46">
        <f t="shared" si="43"/>
        <v>0</v>
      </c>
      <c r="AC26" s="46">
        <v>3010</v>
      </c>
      <c r="AD26" s="46">
        <v>13547</v>
      </c>
      <c r="AE26" s="46">
        <f t="shared" si="44"/>
        <v>16557</v>
      </c>
      <c r="AF26" s="46"/>
      <c r="AG26" s="46"/>
      <c r="AH26" s="46">
        <f t="shared" si="45"/>
        <v>0</v>
      </c>
      <c r="AI26" s="46"/>
      <c r="AJ26" s="46"/>
      <c r="AK26" s="46">
        <f t="shared" si="46"/>
        <v>0</v>
      </c>
      <c r="AL26" s="46"/>
      <c r="AM26" s="46"/>
      <c r="AN26" s="46">
        <f t="shared" si="47"/>
        <v>0</v>
      </c>
      <c r="AO26" s="46"/>
      <c r="AP26" s="46"/>
      <c r="AQ26" s="46">
        <f t="shared" si="48"/>
        <v>0</v>
      </c>
      <c r="AR26" s="46"/>
      <c r="AS26" s="46"/>
      <c r="AT26" s="46">
        <f t="shared" si="49"/>
        <v>0</v>
      </c>
      <c r="AU26" s="46"/>
      <c r="AV26" s="46"/>
      <c r="AW26" s="46">
        <f t="shared" si="50"/>
        <v>0</v>
      </c>
      <c r="AX26" s="46"/>
      <c r="AY26" s="46"/>
      <c r="AZ26" s="46">
        <f t="shared" si="51"/>
        <v>0</v>
      </c>
      <c r="BA26" s="46">
        <v>309</v>
      </c>
      <c r="BB26" s="46"/>
      <c r="BC26" s="46">
        <f t="shared" si="52"/>
        <v>309</v>
      </c>
      <c r="BD26" s="46"/>
      <c r="BE26" s="46"/>
      <c r="BF26" s="46">
        <f t="shared" si="53"/>
        <v>0</v>
      </c>
      <c r="BG26" s="46"/>
      <c r="BH26" s="46"/>
      <c r="BI26" s="46">
        <f t="shared" si="54"/>
        <v>0</v>
      </c>
      <c r="BJ26" s="46"/>
      <c r="BK26" s="46"/>
      <c r="BL26" s="46">
        <f t="shared" si="66"/>
        <v>0</v>
      </c>
      <c r="BM26" s="46">
        <v>6886</v>
      </c>
      <c r="BN26" s="46">
        <v>28060</v>
      </c>
      <c r="BO26" s="46">
        <f t="shared" si="56"/>
        <v>34946</v>
      </c>
      <c r="BP26" s="46">
        <v>7794</v>
      </c>
      <c r="BQ26" s="46">
        <v>37976</v>
      </c>
      <c r="BR26" s="46">
        <f t="shared" si="57"/>
        <v>45770</v>
      </c>
      <c r="BS26" s="46"/>
      <c r="BT26" s="46"/>
      <c r="BU26" s="46">
        <f t="shared" si="58"/>
        <v>0</v>
      </c>
      <c r="BV26" s="46"/>
      <c r="BW26" s="46"/>
      <c r="BX26" s="46">
        <f t="shared" si="69"/>
        <v>0</v>
      </c>
      <c r="BY26" s="46"/>
      <c r="BZ26" s="46"/>
      <c r="CA26" s="46">
        <f t="shared" si="60"/>
        <v>0</v>
      </c>
      <c r="CB26" s="46"/>
      <c r="CC26" s="46"/>
      <c r="CD26" s="46">
        <f t="shared" si="61"/>
        <v>0</v>
      </c>
      <c r="CE26" s="46"/>
      <c r="CF26" s="46"/>
      <c r="CG26" s="46">
        <f t="shared" si="62"/>
        <v>0</v>
      </c>
      <c r="CH26" s="46"/>
      <c r="CI26" s="46"/>
      <c r="CJ26" s="46">
        <f t="shared" si="63"/>
        <v>0</v>
      </c>
      <c r="CK26" s="46"/>
      <c r="CL26" s="46"/>
      <c r="CM26" s="46">
        <f t="shared" si="64"/>
        <v>0</v>
      </c>
      <c r="CN26" s="46">
        <v>954</v>
      </c>
      <c r="CO26" s="46">
        <v>3736</v>
      </c>
      <c r="CP26" s="46">
        <f t="shared" si="67"/>
        <v>4690</v>
      </c>
    </row>
    <row r="27" spans="1:94" ht="15" customHeight="1" x14ac:dyDescent="0.25">
      <c r="A27" s="47" t="s">
        <v>160</v>
      </c>
      <c r="B27" s="46"/>
      <c r="C27" s="46"/>
      <c r="D27" s="46">
        <f t="shared" si="35"/>
        <v>0</v>
      </c>
      <c r="E27" s="46"/>
      <c r="F27" s="46"/>
      <c r="G27" s="46">
        <f t="shared" si="36"/>
        <v>0</v>
      </c>
      <c r="H27" s="46"/>
      <c r="I27" s="46"/>
      <c r="J27" s="46">
        <f t="shared" si="68"/>
        <v>0</v>
      </c>
      <c r="K27" s="46"/>
      <c r="L27" s="46"/>
      <c r="M27" s="46">
        <f t="shared" si="38"/>
        <v>0</v>
      </c>
      <c r="N27" s="46"/>
      <c r="O27" s="46"/>
      <c r="P27" s="46">
        <f t="shared" si="39"/>
        <v>0</v>
      </c>
      <c r="Q27" s="46"/>
      <c r="R27" s="46"/>
      <c r="S27" s="46">
        <f t="shared" si="40"/>
        <v>0</v>
      </c>
      <c r="T27" s="46"/>
      <c r="U27" s="46"/>
      <c r="V27" s="46">
        <f t="shared" si="41"/>
        <v>0</v>
      </c>
      <c r="W27" s="46"/>
      <c r="X27" s="46"/>
      <c r="Y27" s="46">
        <f t="shared" si="42"/>
        <v>0</v>
      </c>
      <c r="Z27" s="46"/>
      <c r="AA27" s="46"/>
      <c r="AB27" s="46">
        <f t="shared" si="43"/>
        <v>0</v>
      </c>
      <c r="AC27" s="46"/>
      <c r="AD27" s="46"/>
      <c r="AE27" s="46">
        <f t="shared" si="44"/>
        <v>0</v>
      </c>
      <c r="AF27" s="46"/>
      <c r="AG27" s="46"/>
      <c r="AH27" s="46">
        <f t="shared" si="45"/>
        <v>0</v>
      </c>
      <c r="AI27" s="46"/>
      <c r="AJ27" s="46"/>
      <c r="AK27" s="46">
        <f t="shared" si="46"/>
        <v>0</v>
      </c>
      <c r="AL27" s="46"/>
      <c r="AM27" s="46"/>
      <c r="AN27" s="46">
        <f t="shared" si="47"/>
        <v>0</v>
      </c>
      <c r="AO27" s="46"/>
      <c r="AP27" s="46"/>
      <c r="AQ27" s="46">
        <f t="shared" si="48"/>
        <v>0</v>
      </c>
      <c r="AR27" s="46"/>
      <c r="AS27" s="46"/>
      <c r="AT27" s="46">
        <f t="shared" si="49"/>
        <v>0</v>
      </c>
      <c r="AU27" s="46"/>
      <c r="AV27" s="46"/>
      <c r="AW27" s="46">
        <f t="shared" si="50"/>
        <v>0</v>
      </c>
      <c r="AX27" s="46"/>
      <c r="AY27" s="46"/>
      <c r="AZ27" s="46">
        <f t="shared" si="51"/>
        <v>0</v>
      </c>
      <c r="BA27" s="46"/>
      <c r="BB27" s="46"/>
      <c r="BC27" s="46">
        <f t="shared" si="52"/>
        <v>0</v>
      </c>
      <c r="BD27" s="46"/>
      <c r="BE27" s="46"/>
      <c r="BF27" s="46">
        <f t="shared" si="53"/>
        <v>0</v>
      </c>
      <c r="BG27" s="46"/>
      <c r="BH27" s="46"/>
      <c r="BI27" s="46">
        <f t="shared" si="54"/>
        <v>0</v>
      </c>
      <c r="BJ27" s="46"/>
      <c r="BK27" s="46"/>
      <c r="BL27" s="46">
        <f t="shared" si="66"/>
        <v>0</v>
      </c>
      <c r="BM27" s="46"/>
      <c r="BN27" s="46"/>
      <c r="BO27" s="46">
        <f t="shared" si="56"/>
        <v>0</v>
      </c>
      <c r="BP27" s="46"/>
      <c r="BQ27" s="46"/>
      <c r="BR27" s="46">
        <f t="shared" si="57"/>
        <v>0</v>
      </c>
      <c r="BS27" s="46"/>
      <c r="BT27" s="46"/>
      <c r="BU27" s="46">
        <f t="shared" si="58"/>
        <v>0</v>
      </c>
      <c r="BV27" s="46"/>
      <c r="BW27" s="46"/>
      <c r="BX27" s="46">
        <f t="shared" si="69"/>
        <v>0</v>
      </c>
      <c r="BY27" s="46"/>
      <c r="BZ27" s="46"/>
      <c r="CA27" s="46">
        <f t="shared" si="60"/>
        <v>0</v>
      </c>
      <c r="CB27" s="46"/>
      <c r="CC27" s="46"/>
      <c r="CD27" s="46">
        <f t="shared" si="61"/>
        <v>0</v>
      </c>
      <c r="CE27" s="46"/>
      <c r="CF27" s="46"/>
      <c r="CG27" s="46">
        <f t="shared" si="62"/>
        <v>0</v>
      </c>
      <c r="CH27" s="46"/>
      <c r="CI27" s="46"/>
      <c r="CJ27" s="46">
        <f t="shared" si="63"/>
        <v>0</v>
      </c>
      <c r="CK27" s="46"/>
      <c r="CL27" s="46"/>
      <c r="CM27" s="46">
        <f t="shared" si="64"/>
        <v>0</v>
      </c>
      <c r="CN27" s="46"/>
      <c r="CO27" s="46"/>
      <c r="CP27" s="46">
        <f t="shared" si="67"/>
        <v>0</v>
      </c>
    </row>
    <row r="28" spans="1:94" ht="15" customHeight="1" x14ac:dyDescent="0.25">
      <c r="A28" s="47" t="s">
        <v>161</v>
      </c>
      <c r="B28" s="46">
        <v>340</v>
      </c>
      <c r="C28" s="46">
        <v>905</v>
      </c>
      <c r="D28" s="46">
        <f t="shared" si="35"/>
        <v>1245</v>
      </c>
      <c r="E28" s="46">
        <v>2001</v>
      </c>
      <c r="F28" s="46">
        <v>7830</v>
      </c>
      <c r="G28" s="46">
        <f t="shared" si="36"/>
        <v>9831</v>
      </c>
      <c r="H28" s="46">
        <v>26013</v>
      </c>
      <c r="I28" s="46">
        <v>80733</v>
      </c>
      <c r="J28" s="46">
        <f t="shared" si="68"/>
        <v>106746</v>
      </c>
      <c r="K28" s="46">
        <v>40759</v>
      </c>
      <c r="L28" s="46">
        <v>69840</v>
      </c>
      <c r="M28" s="46">
        <f t="shared" si="38"/>
        <v>110599</v>
      </c>
      <c r="N28" s="46">
        <v>10335</v>
      </c>
      <c r="O28" s="46">
        <v>6335</v>
      </c>
      <c r="P28" s="46">
        <f t="shared" si="39"/>
        <v>16670</v>
      </c>
      <c r="Q28" s="46"/>
      <c r="R28" s="46"/>
      <c r="S28" s="46">
        <f t="shared" si="40"/>
        <v>0</v>
      </c>
      <c r="T28" s="46">
        <v>5051.59</v>
      </c>
      <c r="U28" s="46">
        <v>6174.17</v>
      </c>
      <c r="V28" s="46">
        <f t="shared" si="41"/>
        <v>11225.76</v>
      </c>
      <c r="W28" s="46"/>
      <c r="X28" s="46"/>
      <c r="Y28" s="46">
        <f t="shared" si="42"/>
        <v>0</v>
      </c>
      <c r="Z28" s="46"/>
      <c r="AA28" s="46"/>
      <c r="AB28" s="46">
        <f t="shared" si="43"/>
        <v>0</v>
      </c>
      <c r="AC28" s="46"/>
      <c r="AD28" s="46"/>
      <c r="AE28" s="46">
        <f t="shared" si="44"/>
        <v>0</v>
      </c>
      <c r="AF28" s="46">
        <v>13160</v>
      </c>
      <c r="AG28" s="46">
        <v>51913</v>
      </c>
      <c r="AH28" s="46">
        <f t="shared" si="45"/>
        <v>65073</v>
      </c>
      <c r="AI28" s="46">
        <v>24488</v>
      </c>
      <c r="AJ28" s="46">
        <v>66310</v>
      </c>
      <c r="AK28" s="46">
        <f t="shared" si="46"/>
        <v>90798</v>
      </c>
      <c r="AL28" s="46">
        <v>856</v>
      </c>
      <c r="AM28" s="46">
        <v>3654</v>
      </c>
      <c r="AN28" s="46">
        <f t="shared" si="47"/>
        <v>4510</v>
      </c>
      <c r="AO28" s="46"/>
      <c r="AP28" s="46"/>
      <c r="AQ28" s="46">
        <f t="shared" si="48"/>
        <v>0</v>
      </c>
      <c r="AR28" s="46">
        <v>1378</v>
      </c>
      <c r="AS28" s="46">
        <v>3900</v>
      </c>
      <c r="AT28" s="46">
        <f t="shared" si="49"/>
        <v>5278</v>
      </c>
      <c r="AU28" s="46">
        <v>3702</v>
      </c>
      <c r="AV28" s="46">
        <v>25780</v>
      </c>
      <c r="AW28" s="46">
        <f t="shared" si="50"/>
        <v>29482</v>
      </c>
      <c r="AX28" s="46">
        <v>186.97</v>
      </c>
      <c r="AY28" s="46">
        <v>1006.68</v>
      </c>
      <c r="AZ28" s="46">
        <f t="shared" si="51"/>
        <v>1193.6499999999999</v>
      </c>
      <c r="BA28" s="46">
        <v>8351</v>
      </c>
      <c r="BB28" s="46">
        <v>412</v>
      </c>
      <c r="BC28" s="46">
        <f>BB28+BA28</f>
        <v>8763</v>
      </c>
      <c r="BD28" s="46">
        <v>19812.27</v>
      </c>
      <c r="BE28" s="46">
        <v>188678.01</v>
      </c>
      <c r="BF28" s="46">
        <f t="shared" si="53"/>
        <v>208490.28</v>
      </c>
      <c r="BG28" s="46">
        <v>1185</v>
      </c>
      <c r="BH28" s="46">
        <v>140</v>
      </c>
      <c r="BI28" s="46">
        <f t="shared" si="54"/>
        <v>1325</v>
      </c>
      <c r="BJ28" s="46">
        <v>35</v>
      </c>
      <c r="BK28" s="46">
        <v>105</v>
      </c>
      <c r="BL28" s="46">
        <f t="shared" si="66"/>
        <v>140</v>
      </c>
      <c r="BM28" s="46">
        <v>1105</v>
      </c>
      <c r="BN28" s="46">
        <v>4501</v>
      </c>
      <c r="BO28" s="46">
        <f t="shared" si="56"/>
        <v>5606</v>
      </c>
      <c r="BP28" s="46">
        <v>2135</v>
      </c>
      <c r="BQ28" s="46">
        <v>10406</v>
      </c>
      <c r="BR28" s="46">
        <f t="shared" si="57"/>
        <v>12541</v>
      </c>
      <c r="BS28" s="46">
        <v>1783</v>
      </c>
      <c r="BT28" s="46">
        <v>10556</v>
      </c>
      <c r="BU28" s="46">
        <f t="shared" si="58"/>
        <v>12339</v>
      </c>
      <c r="BV28" s="46"/>
      <c r="BW28" s="46"/>
      <c r="BX28" s="46">
        <f t="shared" si="69"/>
        <v>0</v>
      </c>
      <c r="BY28" s="46">
        <v>22721</v>
      </c>
      <c r="BZ28" s="46">
        <v>34783</v>
      </c>
      <c r="CA28" s="46">
        <f t="shared" si="60"/>
        <v>57504</v>
      </c>
      <c r="CB28" s="46">
        <v>1832</v>
      </c>
      <c r="CC28" s="46">
        <v>9521</v>
      </c>
      <c r="CD28" s="46">
        <f t="shared" si="61"/>
        <v>11353</v>
      </c>
      <c r="CE28" s="46"/>
      <c r="CF28" s="46"/>
      <c r="CG28" s="46">
        <f t="shared" si="62"/>
        <v>0</v>
      </c>
      <c r="CH28" s="46">
        <v>3814</v>
      </c>
      <c r="CI28" s="46">
        <v>151859</v>
      </c>
      <c r="CJ28" s="46">
        <f t="shared" si="63"/>
        <v>155673</v>
      </c>
      <c r="CK28" s="46">
        <v>3724</v>
      </c>
      <c r="CL28" s="46">
        <v>53398</v>
      </c>
      <c r="CM28" s="46">
        <f t="shared" si="64"/>
        <v>57122</v>
      </c>
      <c r="CN28" s="46">
        <v>2700</v>
      </c>
      <c r="CO28" s="46">
        <v>10578</v>
      </c>
      <c r="CP28" s="46">
        <f t="shared" si="67"/>
        <v>13278</v>
      </c>
    </row>
    <row r="29" spans="1:94" ht="15" customHeight="1" x14ac:dyDescent="0.25">
      <c r="A29" s="47" t="s">
        <v>294</v>
      </c>
      <c r="B29" s="46"/>
      <c r="C29" s="46"/>
      <c r="D29" s="46"/>
      <c r="E29" s="46"/>
      <c r="F29" s="46"/>
      <c r="G29" s="46"/>
      <c r="H29" s="46"/>
      <c r="I29" s="46"/>
      <c r="J29" s="46">
        <f t="shared" si="68"/>
        <v>0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>
        <f t="shared" si="54"/>
        <v>0</v>
      </c>
      <c r="BJ29" s="46"/>
      <c r="BK29" s="46"/>
      <c r="BL29" s="46"/>
      <c r="BM29" s="46"/>
      <c r="BN29" s="46"/>
      <c r="BO29" s="46">
        <f t="shared" si="56"/>
        <v>0</v>
      </c>
      <c r="BP29" s="46"/>
      <c r="BQ29" s="46"/>
      <c r="BR29" s="46">
        <f t="shared" si="57"/>
        <v>0</v>
      </c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>
        <f t="shared" si="61"/>
        <v>0</v>
      </c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</row>
    <row r="30" spans="1:94" ht="15" customHeight="1" x14ac:dyDescent="0.25">
      <c r="A30" s="47" t="s">
        <v>295</v>
      </c>
      <c r="B30" s="46">
        <v>373</v>
      </c>
      <c r="C30" s="46">
        <v>992</v>
      </c>
      <c r="D30" s="46">
        <f t="shared" si="35"/>
        <v>1365</v>
      </c>
      <c r="E30" s="46"/>
      <c r="F30" s="46">
        <v>5489</v>
      </c>
      <c r="G30" s="46">
        <f t="shared" si="36"/>
        <v>5489</v>
      </c>
      <c r="H30" s="46">
        <v>8290</v>
      </c>
      <c r="I30" s="46">
        <v>25728</v>
      </c>
      <c r="J30" s="46">
        <f t="shared" si="68"/>
        <v>34018</v>
      </c>
      <c r="K30" s="46">
        <v>35728</v>
      </c>
      <c r="L30" s="46">
        <v>137861</v>
      </c>
      <c r="M30" s="46">
        <f t="shared" si="38"/>
        <v>173589</v>
      </c>
      <c r="N30" s="46">
        <v>2694</v>
      </c>
      <c r="O30" s="46">
        <v>12485</v>
      </c>
      <c r="P30" s="46">
        <f t="shared" si="39"/>
        <v>15179</v>
      </c>
      <c r="Q30" s="46">
        <v>2370</v>
      </c>
      <c r="R30" s="46">
        <v>16001</v>
      </c>
      <c r="S30" s="46">
        <f t="shared" si="40"/>
        <v>18371</v>
      </c>
      <c r="T30" s="46">
        <v>8152.03</v>
      </c>
      <c r="U30" s="46">
        <v>9963.59</v>
      </c>
      <c r="V30" s="46">
        <f t="shared" si="41"/>
        <v>18115.62</v>
      </c>
      <c r="W30" s="46">
        <v>50</v>
      </c>
      <c r="X30" s="46">
        <v>2560</v>
      </c>
      <c r="Y30" s="46">
        <f t="shared" si="42"/>
        <v>2610</v>
      </c>
      <c r="Z30" s="46">
        <v>1147.31</v>
      </c>
      <c r="AA30" s="46">
        <v>4194.13</v>
      </c>
      <c r="AB30" s="46">
        <f t="shared" si="43"/>
        <v>5341.4400000000005</v>
      </c>
      <c r="AC30" s="46">
        <v>2497</v>
      </c>
      <c r="AD30" s="46">
        <v>88977</v>
      </c>
      <c r="AE30" s="46">
        <f t="shared" si="44"/>
        <v>91474</v>
      </c>
      <c r="AF30" s="46">
        <v>12807</v>
      </c>
      <c r="AG30" s="46">
        <v>50523</v>
      </c>
      <c r="AH30" s="46">
        <f t="shared" si="45"/>
        <v>63330</v>
      </c>
      <c r="AI30" s="46">
        <v>23034</v>
      </c>
      <c r="AJ30" s="46">
        <v>76617</v>
      </c>
      <c r="AK30" s="46">
        <f t="shared" si="46"/>
        <v>99651</v>
      </c>
      <c r="AL30" s="46">
        <v>10465</v>
      </c>
      <c r="AM30" s="46">
        <v>44661</v>
      </c>
      <c r="AN30" s="46">
        <f t="shared" si="47"/>
        <v>55126</v>
      </c>
      <c r="AO30" s="46"/>
      <c r="AP30" s="46"/>
      <c r="AQ30" s="46">
        <f t="shared" si="48"/>
        <v>0</v>
      </c>
      <c r="AR30" s="46">
        <v>7064</v>
      </c>
      <c r="AS30" s="46">
        <v>19981</v>
      </c>
      <c r="AT30" s="46">
        <f t="shared" si="49"/>
        <v>27045</v>
      </c>
      <c r="AU30" s="46">
        <v>257</v>
      </c>
      <c r="AV30" s="46">
        <v>1791</v>
      </c>
      <c r="AW30" s="46">
        <f t="shared" si="50"/>
        <v>2048</v>
      </c>
      <c r="AX30" s="46">
        <v>1003.25</v>
      </c>
      <c r="AY30" s="46">
        <v>2009.56</v>
      </c>
      <c r="AZ30" s="46">
        <f t="shared" si="51"/>
        <v>3012.81</v>
      </c>
      <c r="BA30" s="46">
        <v>6002</v>
      </c>
      <c r="BB30" s="46">
        <v>3511</v>
      </c>
      <c r="BC30" s="46">
        <f t="shared" si="52"/>
        <v>9513</v>
      </c>
      <c r="BD30" s="46">
        <v>8283.65</v>
      </c>
      <c r="BE30" s="46">
        <v>78887.600000000006</v>
      </c>
      <c r="BF30" s="46">
        <f t="shared" si="53"/>
        <v>87171.25</v>
      </c>
      <c r="BG30" s="46">
        <v>1180</v>
      </c>
      <c r="BH30" s="46"/>
      <c r="BI30" s="46">
        <f t="shared" si="54"/>
        <v>1180</v>
      </c>
      <c r="BJ30" s="46">
        <v>622</v>
      </c>
      <c r="BK30" s="46">
        <v>1884</v>
      </c>
      <c r="BL30" s="46">
        <f t="shared" si="66"/>
        <v>2506</v>
      </c>
      <c r="BM30" s="46">
        <v>26355</v>
      </c>
      <c r="BN30" s="46">
        <v>107400</v>
      </c>
      <c r="BO30" s="46">
        <f t="shared" si="56"/>
        <v>133755</v>
      </c>
      <c r="BP30" s="46">
        <v>10590</v>
      </c>
      <c r="BQ30" s="46">
        <v>51601</v>
      </c>
      <c r="BR30" s="46">
        <f t="shared" si="57"/>
        <v>62191</v>
      </c>
      <c r="BS30" s="46">
        <v>1500</v>
      </c>
      <c r="BT30" s="46">
        <v>35106</v>
      </c>
      <c r="BU30" s="46">
        <f t="shared" si="58"/>
        <v>36606</v>
      </c>
      <c r="BV30" s="46">
        <v>2526</v>
      </c>
      <c r="BW30" s="46">
        <v>290</v>
      </c>
      <c r="BX30" s="46">
        <f t="shared" si="69"/>
        <v>2816</v>
      </c>
      <c r="BY30" s="46"/>
      <c r="BZ30" s="46"/>
      <c r="CA30" s="46">
        <f t="shared" si="60"/>
        <v>0</v>
      </c>
      <c r="CB30" s="46">
        <v>17710</v>
      </c>
      <c r="CC30" s="46">
        <v>92013</v>
      </c>
      <c r="CD30" s="46">
        <f t="shared" si="61"/>
        <v>109723</v>
      </c>
      <c r="CE30" s="46">
        <v>28525</v>
      </c>
      <c r="CF30" s="46">
        <v>67219</v>
      </c>
      <c r="CG30" s="46">
        <f t="shared" si="62"/>
        <v>95744</v>
      </c>
      <c r="CH30" s="46">
        <v>527</v>
      </c>
      <c r="CI30" s="46">
        <v>20994</v>
      </c>
      <c r="CJ30" s="46">
        <f t="shared" si="63"/>
        <v>21521</v>
      </c>
      <c r="CK30" s="46">
        <v>3718</v>
      </c>
      <c r="CL30" s="46">
        <v>53306</v>
      </c>
      <c r="CM30" s="46">
        <f t="shared" si="64"/>
        <v>57024</v>
      </c>
      <c r="CN30" s="46">
        <v>8020</v>
      </c>
      <c r="CO30" s="46">
        <v>31417</v>
      </c>
      <c r="CP30" s="46">
        <f t="shared" si="67"/>
        <v>39437</v>
      </c>
    </row>
    <row r="31" spans="1:94" ht="15" customHeight="1" x14ac:dyDescent="0.25">
      <c r="A31" s="47" t="s">
        <v>168</v>
      </c>
      <c r="B31" s="46">
        <v>3148</v>
      </c>
      <c r="C31" s="46">
        <v>8373</v>
      </c>
      <c r="D31" s="46">
        <f t="shared" si="35"/>
        <v>11521</v>
      </c>
      <c r="E31" s="46">
        <v>250</v>
      </c>
      <c r="F31" s="46"/>
      <c r="G31" s="46">
        <f t="shared" si="36"/>
        <v>250</v>
      </c>
      <c r="H31" s="46">
        <v>12663</v>
      </c>
      <c r="I31" s="46">
        <v>39301</v>
      </c>
      <c r="J31" s="46">
        <f t="shared" si="68"/>
        <v>51964</v>
      </c>
      <c r="K31" s="46">
        <v>59545</v>
      </c>
      <c r="L31" s="46">
        <f>10641+5000+2522</f>
        <v>18163</v>
      </c>
      <c r="M31" s="46">
        <f t="shared" si="38"/>
        <v>77708</v>
      </c>
      <c r="N31" s="46">
        <v>8000</v>
      </c>
      <c r="O31" s="46"/>
      <c r="P31" s="46">
        <f t="shared" si="39"/>
        <v>8000</v>
      </c>
      <c r="Q31" s="46">
        <f>1187+14065</f>
        <v>15252</v>
      </c>
      <c r="R31" s="46">
        <f>8011+94958</f>
        <v>102969</v>
      </c>
      <c r="S31" s="46">
        <f t="shared" si="40"/>
        <v>118221</v>
      </c>
      <c r="T31" s="46"/>
      <c r="U31" s="46"/>
      <c r="V31" s="46">
        <f t="shared" si="41"/>
        <v>0</v>
      </c>
      <c r="W31" s="46"/>
      <c r="X31" s="46"/>
      <c r="Y31" s="46">
        <f t="shared" si="42"/>
        <v>0</v>
      </c>
      <c r="Z31" s="46">
        <v>4238.3599999999997</v>
      </c>
      <c r="AA31" s="46">
        <v>15493.89</v>
      </c>
      <c r="AB31" s="46">
        <f t="shared" si="43"/>
        <v>19732.25</v>
      </c>
      <c r="AC31" s="46"/>
      <c r="AD31" s="46"/>
      <c r="AE31" s="46">
        <f t="shared" si="44"/>
        <v>0</v>
      </c>
      <c r="AF31" s="46">
        <v>6560</v>
      </c>
      <c r="AG31" s="46">
        <v>25876</v>
      </c>
      <c r="AH31" s="46">
        <f t="shared" si="45"/>
        <v>32436</v>
      </c>
      <c r="AI31" s="46">
        <v>33264</v>
      </c>
      <c r="AJ31" s="46">
        <v>110642</v>
      </c>
      <c r="AK31" s="46">
        <f t="shared" si="46"/>
        <v>143906</v>
      </c>
      <c r="AL31" s="46">
        <f>474+1894</f>
        <v>2368</v>
      </c>
      <c r="AM31" s="46">
        <f>2023+8082</f>
        <v>10105</v>
      </c>
      <c r="AN31" s="46">
        <f t="shared" si="47"/>
        <v>12473</v>
      </c>
      <c r="AO31" s="46">
        <v>658</v>
      </c>
      <c r="AP31" s="46">
        <v>2876</v>
      </c>
      <c r="AQ31" s="46">
        <f t="shared" si="48"/>
        <v>3534</v>
      </c>
      <c r="AR31" s="46"/>
      <c r="AS31" s="46"/>
      <c r="AT31" s="46">
        <f t="shared" si="49"/>
        <v>0</v>
      </c>
      <c r="AU31" s="46">
        <v>1221</v>
      </c>
      <c r="AV31" s="46">
        <v>8504</v>
      </c>
      <c r="AW31" s="46">
        <f t="shared" si="50"/>
        <v>9725</v>
      </c>
      <c r="AX31" s="46"/>
      <c r="AY31" s="46"/>
      <c r="AZ31" s="46">
        <f t="shared" si="51"/>
        <v>0</v>
      </c>
      <c r="BA31" s="46">
        <v>4179</v>
      </c>
      <c r="BB31" s="46">
        <v>3120</v>
      </c>
      <c r="BC31" s="46">
        <f t="shared" si="52"/>
        <v>7299</v>
      </c>
      <c r="BD31" s="46">
        <v>22001.95</v>
      </c>
      <c r="BE31" s="46">
        <v>209531.05</v>
      </c>
      <c r="BF31" s="46">
        <f t="shared" si="53"/>
        <v>231533</v>
      </c>
      <c r="BG31" s="46">
        <v>964</v>
      </c>
      <c r="BH31" s="46">
        <v>714</v>
      </c>
      <c r="BI31" s="46">
        <f t="shared" si="54"/>
        <v>1678</v>
      </c>
      <c r="BJ31" s="46">
        <v>1433</v>
      </c>
      <c r="BK31" s="46">
        <v>4341</v>
      </c>
      <c r="BL31" s="46">
        <f t="shared" si="66"/>
        <v>5774</v>
      </c>
      <c r="BM31" s="46">
        <v>21169</v>
      </c>
      <c r="BN31" s="46">
        <v>86264</v>
      </c>
      <c r="BO31" s="46">
        <f t="shared" si="56"/>
        <v>107433</v>
      </c>
      <c r="BP31" s="46">
        <v>1294</v>
      </c>
      <c r="BQ31" s="46">
        <v>6304</v>
      </c>
      <c r="BR31" s="46">
        <f t="shared" si="57"/>
        <v>7598</v>
      </c>
      <c r="BS31" s="46">
        <f>19988+199</f>
        <v>20187</v>
      </c>
      <c r="BT31" s="46">
        <f>24682+4795</f>
        <v>29477</v>
      </c>
      <c r="BU31" s="46">
        <f t="shared" si="58"/>
        <v>49664</v>
      </c>
      <c r="BV31" s="46"/>
      <c r="BW31" s="46"/>
      <c r="BX31" s="46">
        <f t="shared" si="69"/>
        <v>0</v>
      </c>
      <c r="BY31" s="46">
        <v>27662</v>
      </c>
      <c r="BZ31" s="46">
        <v>42346</v>
      </c>
      <c r="CA31" s="46">
        <f t="shared" si="60"/>
        <v>70008</v>
      </c>
      <c r="CB31" s="46">
        <v>2884</v>
      </c>
      <c r="CC31" s="46">
        <v>14984</v>
      </c>
      <c r="CD31" s="46">
        <f t="shared" si="61"/>
        <v>17868</v>
      </c>
      <c r="CE31" s="46"/>
      <c r="CF31" s="46"/>
      <c r="CG31" s="46">
        <f t="shared" si="62"/>
        <v>0</v>
      </c>
      <c r="CH31" s="46"/>
      <c r="CI31" s="46"/>
      <c r="CJ31" s="46">
        <f t="shared" si="63"/>
        <v>0</v>
      </c>
      <c r="CK31" s="46"/>
      <c r="CL31" s="46"/>
      <c r="CM31" s="46">
        <f t="shared" si="64"/>
        <v>0</v>
      </c>
      <c r="CN31" s="46">
        <v>2384</v>
      </c>
      <c r="CO31" s="46">
        <v>9339</v>
      </c>
      <c r="CP31" s="46">
        <f t="shared" si="67"/>
        <v>11723</v>
      </c>
    </row>
    <row r="32" spans="1:94" ht="15" customHeight="1" x14ac:dyDescent="0.25">
      <c r="A32" s="47" t="s">
        <v>162</v>
      </c>
      <c r="B32" s="46"/>
      <c r="C32" s="46"/>
      <c r="D32" s="46">
        <f t="shared" si="35"/>
        <v>0</v>
      </c>
      <c r="E32" s="46"/>
      <c r="F32" s="46"/>
      <c r="G32" s="46">
        <f t="shared" si="36"/>
        <v>0</v>
      </c>
      <c r="H32" s="46"/>
      <c r="I32" s="46"/>
      <c r="J32" s="46">
        <f t="shared" si="68"/>
        <v>0</v>
      </c>
      <c r="K32" s="46"/>
      <c r="L32" s="46"/>
      <c r="M32" s="46">
        <f t="shared" si="38"/>
        <v>0</v>
      </c>
      <c r="N32" s="46"/>
      <c r="O32" s="46"/>
      <c r="P32" s="46">
        <f t="shared" si="39"/>
        <v>0</v>
      </c>
      <c r="Q32" s="46"/>
      <c r="R32" s="46"/>
      <c r="S32" s="46">
        <f t="shared" si="40"/>
        <v>0</v>
      </c>
      <c r="T32" s="46"/>
      <c r="U32" s="46"/>
      <c r="V32" s="46">
        <f t="shared" si="41"/>
        <v>0</v>
      </c>
      <c r="W32" s="46"/>
      <c r="X32" s="46"/>
      <c r="Y32" s="46">
        <f t="shared" si="42"/>
        <v>0</v>
      </c>
      <c r="Z32" s="46"/>
      <c r="AA32" s="46"/>
      <c r="AB32" s="46">
        <f t="shared" si="43"/>
        <v>0</v>
      </c>
      <c r="AC32" s="46"/>
      <c r="AD32" s="46"/>
      <c r="AE32" s="46">
        <f t="shared" si="44"/>
        <v>0</v>
      </c>
      <c r="AF32" s="46"/>
      <c r="AG32" s="46"/>
      <c r="AH32" s="46">
        <f t="shared" si="45"/>
        <v>0</v>
      </c>
      <c r="AI32" s="46"/>
      <c r="AJ32" s="46"/>
      <c r="AK32" s="46">
        <f t="shared" si="46"/>
        <v>0</v>
      </c>
      <c r="AL32" s="46"/>
      <c r="AM32" s="46"/>
      <c r="AN32" s="46">
        <f t="shared" si="47"/>
        <v>0</v>
      </c>
      <c r="AO32" s="46"/>
      <c r="AP32" s="46"/>
      <c r="AQ32" s="46">
        <f t="shared" si="48"/>
        <v>0</v>
      </c>
      <c r="AR32" s="46"/>
      <c r="AS32" s="46"/>
      <c r="AT32" s="46">
        <f t="shared" si="49"/>
        <v>0</v>
      </c>
      <c r="AU32" s="46"/>
      <c r="AV32" s="46"/>
      <c r="AW32" s="46">
        <f t="shared" si="50"/>
        <v>0</v>
      </c>
      <c r="AX32" s="46"/>
      <c r="AY32" s="46"/>
      <c r="AZ32" s="46">
        <f t="shared" si="51"/>
        <v>0</v>
      </c>
      <c r="BA32" s="46"/>
      <c r="BB32" s="46"/>
      <c r="BC32" s="46">
        <f t="shared" si="52"/>
        <v>0</v>
      </c>
      <c r="BD32" s="46"/>
      <c r="BE32" s="46"/>
      <c r="BF32" s="46">
        <f t="shared" si="53"/>
        <v>0</v>
      </c>
      <c r="BG32" s="46"/>
      <c r="BH32" s="46"/>
      <c r="BI32" s="46">
        <f t="shared" si="54"/>
        <v>0</v>
      </c>
      <c r="BJ32" s="46"/>
      <c r="BK32" s="46"/>
      <c r="BL32" s="46">
        <f t="shared" si="66"/>
        <v>0</v>
      </c>
      <c r="BM32" s="46"/>
      <c r="BN32" s="46"/>
      <c r="BO32" s="46">
        <f t="shared" si="56"/>
        <v>0</v>
      </c>
      <c r="BP32" s="46"/>
      <c r="BQ32" s="46"/>
      <c r="BR32" s="46">
        <f t="shared" si="57"/>
        <v>0</v>
      </c>
      <c r="BS32" s="46"/>
      <c r="BT32" s="46"/>
      <c r="BU32" s="46">
        <f t="shared" si="58"/>
        <v>0</v>
      </c>
      <c r="BV32" s="46"/>
      <c r="BW32" s="46"/>
      <c r="BX32" s="46">
        <f t="shared" si="69"/>
        <v>0</v>
      </c>
      <c r="BY32" s="46"/>
      <c r="BZ32" s="46"/>
      <c r="CA32" s="46">
        <f t="shared" si="60"/>
        <v>0</v>
      </c>
      <c r="CB32" s="46"/>
      <c r="CC32" s="46"/>
      <c r="CD32" s="46">
        <f t="shared" si="61"/>
        <v>0</v>
      </c>
      <c r="CE32" s="46"/>
      <c r="CF32" s="46"/>
      <c r="CG32" s="46">
        <f t="shared" si="62"/>
        <v>0</v>
      </c>
      <c r="CH32" s="46"/>
      <c r="CI32" s="46"/>
      <c r="CJ32" s="46">
        <f t="shared" si="63"/>
        <v>0</v>
      </c>
      <c r="CK32" s="46"/>
      <c r="CL32" s="46"/>
      <c r="CM32" s="46">
        <f t="shared" si="64"/>
        <v>0</v>
      </c>
      <c r="CN32" s="46"/>
      <c r="CO32" s="46"/>
      <c r="CP32" s="46">
        <f t="shared" si="67"/>
        <v>0</v>
      </c>
    </row>
    <row r="33" spans="1:94" ht="15" customHeight="1" x14ac:dyDescent="0.25">
      <c r="A33" s="47" t="s">
        <v>296</v>
      </c>
      <c r="B33" s="46"/>
      <c r="C33" s="46"/>
      <c r="D33" s="46"/>
      <c r="E33" s="46"/>
      <c r="F33" s="46"/>
      <c r="G33" s="46"/>
      <c r="H33" s="46"/>
      <c r="I33" s="46"/>
      <c r="J33" s="46">
        <f t="shared" si="68"/>
        <v>0</v>
      </c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>
        <f t="shared" si="41"/>
        <v>0</v>
      </c>
      <c r="W33" s="46"/>
      <c r="X33" s="46">
        <v>709</v>
      </c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>
        <f t="shared" si="46"/>
        <v>0</v>
      </c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>
        <f t="shared" si="54"/>
        <v>0</v>
      </c>
      <c r="BJ33" s="46"/>
      <c r="BK33" s="46"/>
      <c r="BL33" s="46"/>
      <c r="BM33" s="46"/>
      <c r="BN33" s="46"/>
      <c r="BO33" s="46">
        <f t="shared" si="56"/>
        <v>0</v>
      </c>
      <c r="BP33" s="46"/>
      <c r="BQ33" s="46"/>
      <c r="BR33" s="46">
        <f t="shared" si="57"/>
        <v>0</v>
      </c>
      <c r="BS33" s="46"/>
      <c r="BT33" s="46"/>
      <c r="BU33" s="46"/>
      <c r="BV33" s="46"/>
      <c r="BW33" s="46"/>
      <c r="BX33" s="46">
        <f t="shared" si="69"/>
        <v>0</v>
      </c>
      <c r="BY33" s="46"/>
      <c r="BZ33" s="46"/>
      <c r="CA33" s="46"/>
      <c r="CB33" s="46"/>
      <c r="CC33" s="46"/>
      <c r="CD33" s="46">
        <f t="shared" si="61"/>
        <v>0</v>
      </c>
      <c r="CE33" s="46"/>
      <c r="CF33" s="46"/>
      <c r="CG33" s="46"/>
      <c r="CH33" s="46"/>
      <c r="CI33" s="46"/>
      <c r="CJ33" s="46">
        <f t="shared" si="63"/>
        <v>0</v>
      </c>
      <c r="CK33" s="46"/>
      <c r="CL33" s="46"/>
      <c r="CM33" s="46"/>
      <c r="CN33" s="46"/>
      <c r="CO33" s="46"/>
      <c r="CP33" s="46">
        <f t="shared" si="67"/>
        <v>0</v>
      </c>
    </row>
    <row r="34" spans="1:94" ht="15" customHeight="1" x14ac:dyDescent="0.25">
      <c r="A34" s="47" t="s">
        <v>293</v>
      </c>
      <c r="B34" s="46">
        <v>341</v>
      </c>
      <c r="C34" s="46">
        <v>906</v>
      </c>
      <c r="D34" s="46">
        <f t="shared" si="35"/>
        <v>1247</v>
      </c>
      <c r="E34" s="46">
        <v>500</v>
      </c>
      <c r="F34" s="46">
        <f>1009+1501</f>
        <v>2510</v>
      </c>
      <c r="G34" s="46">
        <f t="shared" si="36"/>
        <v>3010</v>
      </c>
      <c r="H34" s="46">
        <v>6922</v>
      </c>
      <c r="I34" s="46">
        <v>21482</v>
      </c>
      <c r="J34" s="46">
        <f t="shared" si="68"/>
        <v>28404</v>
      </c>
      <c r="K34" s="46">
        <v>27331</v>
      </c>
      <c r="L34" s="46">
        <v>116173</v>
      </c>
      <c r="M34" s="46">
        <f t="shared" si="38"/>
        <v>143504</v>
      </c>
      <c r="N34" s="46">
        <v>6507</v>
      </c>
      <c r="O34" s="46">
        <v>14005</v>
      </c>
      <c r="P34" s="46">
        <f t="shared" si="39"/>
        <v>20512</v>
      </c>
      <c r="Q34" s="46">
        <v>1826</v>
      </c>
      <c r="R34" s="46">
        <v>12325</v>
      </c>
      <c r="S34" s="46">
        <f t="shared" si="40"/>
        <v>14151</v>
      </c>
      <c r="T34" s="46">
        <v>9570.57</v>
      </c>
      <c r="U34" s="46">
        <v>11697.36</v>
      </c>
      <c r="V34" s="46">
        <f t="shared" si="41"/>
        <v>21267.93</v>
      </c>
      <c r="W34" s="46">
        <v>421</v>
      </c>
      <c r="X34" s="46">
        <v>2465</v>
      </c>
      <c r="Y34" s="46">
        <f t="shared" si="42"/>
        <v>2886</v>
      </c>
      <c r="Z34" s="46">
        <v>432.17</v>
      </c>
      <c r="AA34" s="46">
        <v>1579.86</v>
      </c>
      <c r="AB34" s="46">
        <f t="shared" si="43"/>
        <v>2012.03</v>
      </c>
      <c r="AC34" s="46">
        <v>8637</v>
      </c>
      <c r="AD34" s="46">
        <v>135836</v>
      </c>
      <c r="AE34" s="46">
        <f t="shared" si="44"/>
        <v>144473</v>
      </c>
      <c r="AF34" s="46">
        <v>10631</v>
      </c>
      <c r="AG34" s="46">
        <v>41937</v>
      </c>
      <c r="AH34" s="46">
        <f t="shared" si="45"/>
        <v>52568</v>
      </c>
      <c r="AI34" s="46">
        <v>17707</v>
      </c>
      <c r="AJ34" s="46">
        <v>58897</v>
      </c>
      <c r="AK34" s="46">
        <f t="shared" si="46"/>
        <v>76604</v>
      </c>
      <c r="AL34" s="46">
        <v>21065</v>
      </c>
      <c r="AM34" s="46">
        <v>89898</v>
      </c>
      <c r="AN34" s="46">
        <f t="shared" si="47"/>
        <v>110963</v>
      </c>
      <c r="AO34" s="46">
        <v>395</v>
      </c>
      <c r="AP34" s="46">
        <v>1725</v>
      </c>
      <c r="AQ34" s="46">
        <f t="shared" si="48"/>
        <v>2120</v>
      </c>
      <c r="AR34" s="46">
        <v>2090</v>
      </c>
      <c r="AS34" s="46">
        <v>5911</v>
      </c>
      <c r="AT34" s="46">
        <f t="shared" si="49"/>
        <v>8001</v>
      </c>
      <c r="AU34" s="46"/>
      <c r="AV34" s="46"/>
      <c r="AW34" s="46">
        <f t="shared" si="50"/>
        <v>0</v>
      </c>
      <c r="AX34" s="46"/>
      <c r="AY34" s="46">
        <v>5557.19</v>
      </c>
      <c r="AZ34" s="46">
        <f t="shared" si="51"/>
        <v>5557.19</v>
      </c>
      <c r="BA34" s="46">
        <v>2001</v>
      </c>
      <c r="BB34" s="46">
        <v>502</v>
      </c>
      <c r="BC34" s="46">
        <f t="shared" si="52"/>
        <v>2503</v>
      </c>
      <c r="BD34" s="46">
        <v>2941.07</v>
      </c>
      <c r="BE34" s="46">
        <v>28008.66</v>
      </c>
      <c r="BF34" s="46">
        <f t="shared" si="53"/>
        <v>30949.73</v>
      </c>
      <c r="BG34" s="46"/>
      <c r="BH34" s="46">
        <v>499</v>
      </c>
      <c r="BI34" s="46">
        <f t="shared" si="54"/>
        <v>499</v>
      </c>
      <c r="BJ34" s="46">
        <v>251</v>
      </c>
      <c r="BK34" s="46">
        <v>759</v>
      </c>
      <c r="BL34" s="46">
        <f t="shared" si="66"/>
        <v>1010</v>
      </c>
      <c r="BM34" s="46">
        <v>4901</v>
      </c>
      <c r="BN34" s="46">
        <v>19972</v>
      </c>
      <c r="BO34" s="46">
        <f t="shared" si="56"/>
        <v>24873</v>
      </c>
      <c r="BP34" s="46">
        <v>3416</v>
      </c>
      <c r="BQ34" s="46">
        <v>16643</v>
      </c>
      <c r="BR34" s="46">
        <f t="shared" si="57"/>
        <v>20059</v>
      </c>
      <c r="BS34" s="46"/>
      <c r="BT34" s="46">
        <v>11956</v>
      </c>
      <c r="BU34" s="46">
        <f t="shared" si="58"/>
        <v>11956</v>
      </c>
      <c r="BV34" s="46">
        <v>8185</v>
      </c>
      <c r="BW34" s="46">
        <v>29735</v>
      </c>
      <c r="BX34" s="46">
        <f t="shared" si="69"/>
        <v>37920</v>
      </c>
      <c r="BY34" s="46">
        <v>7989</v>
      </c>
      <c r="BZ34" s="46">
        <v>12230</v>
      </c>
      <c r="CA34" s="46">
        <f t="shared" si="60"/>
        <v>20219</v>
      </c>
      <c r="CB34" s="46">
        <v>808</v>
      </c>
      <c r="CC34" s="46">
        <v>4197</v>
      </c>
      <c r="CD34" s="46">
        <f t="shared" si="61"/>
        <v>5005</v>
      </c>
      <c r="CE34" s="46">
        <v>35446</v>
      </c>
      <c r="CF34" s="46">
        <v>83529</v>
      </c>
      <c r="CG34" s="46">
        <f t="shared" si="62"/>
        <v>118975</v>
      </c>
      <c r="CH34" s="46">
        <v>566</v>
      </c>
      <c r="CI34" s="46">
        <v>22521</v>
      </c>
      <c r="CJ34" s="46">
        <f t="shared" si="63"/>
        <v>23087</v>
      </c>
      <c r="CK34" s="46">
        <v>4016</v>
      </c>
      <c r="CL34" s="46">
        <v>57583</v>
      </c>
      <c r="CM34" s="46">
        <f t="shared" si="64"/>
        <v>61599</v>
      </c>
      <c r="CN34" s="46">
        <v>2339</v>
      </c>
      <c r="CO34" s="46">
        <v>9163</v>
      </c>
      <c r="CP34" s="46">
        <f t="shared" si="67"/>
        <v>11502</v>
      </c>
    </row>
    <row r="35" spans="1:94" x14ac:dyDescent="0.25">
      <c r="A35" s="47" t="s">
        <v>164</v>
      </c>
      <c r="B35" s="46"/>
      <c r="C35" s="46"/>
      <c r="D35" s="46">
        <f t="shared" si="35"/>
        <v>0</v>
      </c>
      <c r="E35" s="46"/>
      <c r="F35" s="46">
        <v>1000</v>
      </c>
      <c r="G35" s="46">
        <f t="shared" si="36"/>
        <v>1000</v>
      </c>
      <c r="H35" s="46">
        <v>366</v>
      </c>
      <c r="I35" s="46">
        <v>1134</v>
      </c>
      <c r="J35" s="46">
        <f t="shared" si="68"/>
        <v>1500</v>
      </c>
      <c r="K35" s="46"/>
      <c r="L35" s="46"/>
      <c r="M35" s="46">
        <f t="shared" si="38"/>
        <v>0</v>
      </c>
      <c r="N35" s="46"/>
      <c r="O35" s="46"/>
      <c r="P35" s="46">
        <f t="shared" si="39"/>
        <v>0</v>
      </c>
      <c r="Q35" s="46">
        <v>323</v>
      </c>
      <c r="R35" s="46">
        <v>2178</v>
      </c>
      <c r="S35" s="46">
        <f t="shared" si="40"/>
        <v>2501</v>
      </c>
      <c r="T35" s="46">
        <v>2698.96</v>
      </c>
      <c r="U35" s="46">
        <v>3298.72</v>
      </c>
      <c r="V35" s="46">
        <f t="shared" si="41"/>
        <v>5997.68</v>
      </c>
      <c r="W35" s="46">
        <v>58</v>
      </c>
      <c r="X35" s="46">
        <v>1229</v>
      </c>
      <c r="Y35" s="46">
        <f t="shared" si="42"/>
        <v>1287</v>
      </c>
      <c r="Z35" s="46"/>
      <c r="AA35" s="46"/>
      <c r="AB35" s="46">
        <f t="shared" si="43"/>
        <v>0</v>
      </c>
      <c r="AC35" s="46"/>
      <c r="AD35" s="46"/>
      <c r="AE35" s="46">
        <f t="shared" si="44"/>
        <v>0</v>
      </c>
      <c r="AF35" s="46"/>
      <c r="AG35" s="46"/>
      <c r="AH35" s="46">
        <f t="shared" si="45"/>
        <v>0</v>
      </c>
      <c r="AI35" s="46"/>
      <c r="AJ35" s="46"/>
      <c r="AK35" s="46">
        <f t="shared" si="46"/>
        <v>0</v>
      </c>
      <c r="AL35" s="46"/>
      <c r="AM35" s="46"/>
      <c r="AN35" s="46">
        <f t="shared" si="47"/>
        <v>0</v>
      </c>
      <c r="AO35" s="46"/>
      <c r="AP35" s="46"/>
      <c r="AQ35" s="46">
        <f t="shared" si="48"/>
        <v>0</v>
      </c>
      <c r="AR35" s="46"/>
      <c r="AS35" s="46"/>
      <c r="AT35" s="46">
        <f t="shared" si="49"/>
        <v>0</v>
      </c>
      <c r="AU35" s="46"/>
      <c r="AV35" s="46"/>
      <c r="AW35" s="46">
        <f t="shared" si="50"/>
        <v>0</v>
      </c>
      <c r="AX35" s="46">
        <v>55.93</v>
      </c>
      <c r="AY35" s="46">
        <v>77.92</v>
      </c>
      <c r="AZ35" s="46">
        <f t="shared" si="51"/>
        <v>133.85</v>
      </c>
      <c r="BA35" s="46">
        <v>707</v>
      </c>
      <c r="BB35" s="46"/>
      <c r="BC35" s="46">
        <f t="shared" si="52"/>
        <v>707</v>
      </c>
      <c r="BD35" s="46"/>
      <c r="BE35" s="46"/>
      <c r="BF35" s="46">
        <f t="shared" si="53"/>
        <v>0</v>
      </c>
      <c r="BG35" s="46"/>
      <c r="BH35" s="46">
        <v>509</v>
      </c>
      <c r="BI35" s="46">
        <f t="shared" si="54"/>
        <v>509</v>
      </c>
      <c r="BJ35" s="46"/>
      <c r="BK35" s="46"/>
      <c r="BL35" s="46">
        <f t="shared" si="66"/>
        <v>0</v>
      </c>
      <c r="BM35" s="46">
        <f>3341-268</f>
        <v>3073</v>
      </c>
      <c r="BN35" s="46">
        <f>13616-1091</f>
        <v>12525</v>
      </c>
      <c r="BO35" s="46">
        <f t="shared" si="56"/>
        <v>15598</v>
      </c>
      <c r="BP35" s="46">
        <v>2270</v>
      </c>
      <c r="BQ35" s="46">
        <v>11061</v>
      </c>
      <c r="BR35" s="46">
        <f t="shared" si="57"/>
        <v>13331</v>
      </c>
      <c r="BS35" s="46">
        <v>3967</v>
      </c>
      <c r="BT35" s="46">
        <v>16576</v>
      </c>
      <c r="BU35" s="46">
        <f t="shared" si="58"/>
        <v>20543</v>
      </c>
      <c r="BV35" s="46"/>
      <c r="BW35" s="46"/>
      <c r="BX35" s="46">
        <v>0</v>
      </c>
      <c r="BY35" s="46"/>
      <c r="BZ35" s="46"/>
      <c r="CA35" s="46">
        <f t="shared" si="60"/>
        <v>0</v>
      </c>
      <c r="CB35" s="46">
        <v>12640</v>
      </c>
      <c r="CC35" s="46">
        <v>65673</v>
      </c>
      <c r="CD35" s="46">
        <f t="shared" si="61"/>
        <v>78313</v>
      </c>
      <c r="CE35" s="46">
        <v>6</v>
      </c>
      <c r="CF35" s="46">
        <v>14</v>
      </c>
      <c r="CG35" s="46">
        <f t="shared" si="62"/>
        <v>20</v>
      </c>
      <c r="CH35" s="46">
        <v>13</v>
      </c>
      <c r="CI35" s="46">
        <v>507</v>
      </c>
      <c r="CJ35" s="46">
        <f t="shared" si="63"/>
        <v>520</v>
      </c>
      <c r="CK35" s="46">
        <v>326</v>
      </c>
      <c r="CL35" s="46">
        <v>4674</v>
      </c>
      <c r="CM35" s="46">
        <f t="shared" si="64"/>
        <v>5000</v>
      </c>
      <c r="CN35" s="46">
        <v>184</v>
      </c>
      <c r="CO35" s="46">
        <f>285+434</f>
        <v>719</v>
      </c>
      <c r="CP35" s="46">
        <f t="shared" si="67"/>
        <v>903</v>
      </c>
    </row>
    <row r="36" spans="1:94" s="49" customFormat="1" x14ac:dyDescent="0.25">
      <c r="A36" s="45" t="s">
        <v>167</v>
      </c>
      <c r="B36" s="48">
        <f t="shared" ref="B36:AG36" si="70">SUM(B22:B35)</f>
        <v>4202</v>
      </c>
      <c r="C36" s="48">
        <f t="shared" si="70"/>
        <v>11176</v>
      </c>
      <c r="D36" s="48">
        <f t="shared" si="70"/>
        <v>15378</v>
      </c>
      <c r="E36" s="48">
        <f t="shared" si="70"/>
        <v>6193</v>
      </c>
      <c r="F36" s="48">
        <f t="shared" si="70"/>
        <v>19782</v>
      </c>
      <c r="G36" s="48">
        <f t="shared" si="70"/>
        <v>25975</v>
      </c>
      <c r="H36" s="48">
        <f t="shared" si="70"/>
        <v>57333</v>
      </c>
      <c r="I36" s="48">
        <f t="shared" si="70"/>
        <v>177933</v>
      </c>
      <c r="J36" s="48">
        <f t="shared" si="70"/>
        <v>235266</v>
      </c>
      <c r="K36" s="48">
        <f t="shared" si="70"/>
        <v>163363</v>
      </c>
      <c r="L36" s="48">
        <f t="shared" si="70"/>
        <v>349571</v>
      </c>
      <c r="M36" s="48">
        <f t="shared" si="70"/>
        <v>512934</v>
      </c>
      <c r="N36" s="48">
        <f t="shared" si="70"/>
        <v>28684</v>
      </c>
      <c r="O36" s="48">
        <f t="shared" si="70"/>
        <v>40330</v>
      </c>
      <c r="P36" s="48">
        <f t="shared" si="70"/>
        <v>69014</v>
      </c>
      <c r="Q36" s="48">
        <f t="shared" si="70"/>
        <v>20247</v>
      </c>
      <c r="R36" s="48">
        <f t="shared" si="70"/>
        <v>136687</v>
      </c>
      <c r="S36" s="48">
        <f t="shared" si="70"/>
        <v>156934</v>
      </c>
      <c r="T36" s="48">
        <f t="shared" si="70"/>
        <v>41151.469999999994</v>
      </c>
      <c r="U36" s="48">
        <f t="shared" si="70"/>
        <v>50296.229999999996</v>
      </c>
      <c r="V36" s="48">
        <f t="shared" si="70"/>
        <v>91447.699999999983</v>
      </c>
      <c r="W36" s="48">
        <f t="shared" si="70"/>
        <v>2137</v>
      </c>
      <c r="X36" s="48">
        <f t="shared" si="70"/>
        <v>14338</v>
      </c>
      <c r="Y36" s="48">
        <f t="shared" si="70"/>
        <v>15766</v>
      </c>
      <c r="Z36" s="48">
        <f t="shared" si="70"/>
        <v>7561.65</v>
      </c>
      <c r="AA36" s="48">
        <f t="shared" si="70"/>
        <v>27642.63</v>
      </c>
      <c r="AB36" s="48">
        <f t="shared" si="70"/>
        <v>35204.28</v>
      </c>
      <c r="AC36" s="48">
        <f t="shared" si="70"/>
        <v>24062</v>
      </c>
      <c r="AD36" s="48">
        <f t="shared" si="70"/>
        <v>251182</v>
      </c>
      <c r="AE36" s="48">
        <f t="shared" si="70"/>
        <v>275244</v>
      </c>
      <c r="AF36" s="48">
        <f t="shared" si="70"/>
        <v>57287</v>
      </c>
      <c r="AG36" s="48">
        <f t="shared" si="70"/>
        <v>225986</v>
      </c>
      <c r="AH36" s="48">
        <f t="shared" ref="AH36:BM36" si="71">SUM(AH22:AH35)</f>
        <v>283273</v>
      </c>
      <c r="AI36" s="48">
        <f t="shared" si="71"/>
        <v>129592</v>
      </c>
      <c r="AJ36" s="48">
        <f t="shared" si="71"/>
        <v>415907</v>
      </c>
      <c r="AK36" s="48">
        <f t="shared" si="71"/>
        <v>545499</v>
      </c>
      <c r="AL36" s="48">
        <f t="shared" si="71"/>
        <v>58619</v>
      </c>
      <c r="AM36" s="48">
        <f t="shared" si="71"/>
        <v>250168</v>
      </c>
      <c r="AN36" s="48">
        <f t="shared" si="71"/>
        <v>308787</v>
      </c>
      <c r="AO36" s="48">
        <f t="shared" si="71"/>
        <v>1332</v>
      </c>
      <c r="AP36" s="48">
        <f t="shared" si="71"/>
        <v>5821</v>
      </c>
      <c r="AQ36" s="48">
        <f t="shared" si="71"/>
        <v>7153</v>
      </c>
      <c r="AR36" s="48">
        <f t="shared" si="71"/>
        <v>14198</v>
      </c>
      <c r="AS36" s="48">
        <f t="shared" si="71"/>
        <v>40164</v>
      </c>
      <c r="AT36" s="48">
        <f t="shared" si="71"/>
        <v>54362</v>
      </c>
      <c r="AU36" s="48">
        <f t="shared" si="71"/>
        <v>5180</v>
      </c>
      <c r="AV36" s="48">
        <f t="shared" si="71"/>
        <v>36075</v>
      </c>
      <c r="AW36" s="48">
        <f t="shared" si="71"/>
        <v>41255</v>
      </c>
      <c r="AX36" s="48">
        <f t="shared" si="71"/>
        <v>2229.0099999999998</v>
      </c>
      <c r="AY36" s="48">
        <f t="shared" si="71"/>
        <v>11157.749999999998</v>
      </c>
      <c r="AZ36" s="48">
        <f t="shared" si="71"/>
        <v>13386.76</v>
      </c>
      <c r="BA36" s="48">
        <f t="shared" si="71"/>
        <v>22567</v>
      </c>
      <c r="BB36" s="48">
        <f t="shared" si="71"/>
        <v>11528</v>
      </c>
      <c r="BC36" s="48">
        <f t="shared" si="71"/>
        <v>34095</v>
      </c>
      <c r="BD36" s="48">
        <f t="shared" si="71"/>
        <v>70458.010000000009</v>
      </c>
      <c r="BE36" s="48">
        <f t="shared" si="71"/>
        <v>670992.25000000012</v>
      </c>
      <c r="BF36" s="48">
        <f t="shared" si="71"/>
        <v>741450.26</v>
      </c>
      <c r="BG36" s="48">
        <f t="shared" si="71"/>
        <v>4825</v>
      </c>
      <c r="BH36" s="48">
        <f t="shared" si="71"/>
        <v>17830</v>
      </c>
      <c r="BI36" s="48">
        <f t="shared" si="71"/>
        <v>22655</v>
      </c>
      <c r="BJ36" s="48">
        <f t="shared" si="71"/>
        <v>2341</v>
      </c>
      <c r="BK36" s="48">
        <f t="shared" si="71"/>
        <v>7089</v>
      </c>
      <c r="BL36" s="48">
        <f t="shared" si="71"/>
        <v>9430</v>
      </c>
      <c r="BM36" s="48">
        <f t="shared" si="71"/>
        <v>64008</v>
      </c>
      <c r="BN36" s="48">
        <f t="shared" ref="BN36:CP36" si="72">SUM(BN22:BN35)</f>
        <v>260836</v>
      </c>
      <c r="BO36" s="48">
        <f t="shared" si="72"/>
        <v>324844</v>
      </c>
      <c r="BP36" s="48">
        <f t="shared" si="72"/>
        <v>29211</v>
      </c>
      <c r="BQ36" s="48">
        <f t="shared" si="72"/>
        <v>142332</v>
      </c>
      <c r="BR36" s="48">
        <f t="shared" si="72"/>
        <v>171543</v>
      </c>
      <c r="BS36" s="48">
        <f t="shared" si="72"/>
        <v>27437</v>
      </c>
      <c r="BT36" s="48">
        <f t="shared" si="72"/>
        <v>109496</v>
      </c>
      <c r="BU36" s="48">
        <f t="shared" si="72"/>
        <v>136933</v>
      </c>
      <c r="BV36" s="48">
        <f t="shared" si="72"/>
        <v>12511</v>
      </c>
      <c r="BW36" s="48">
        <f t="shared" si="72"/>
        <v>46694</v>
      </c>
      <c r="BX36" s="48">
        <f t="shared" si="72"/>
        <v>59205</v>
      </c>
      <c r="BY36" s="48">
        <f t="shared" si="72"/>
        <v>77250</v>
      </c>
      <c r="BZ36" s="48">
        <f t="shared" si="72"/>
        <v>118259</v>
      </c>
      <c r="CA36" s="48">
        <f t="shared" si="72"/>
        <v>195509</v>
      </c>
      <c r="CB36" s="48">
        <f t="shared" si="72"/>
        <v>35874</v>
      </c>
      <c r="CC36" s="48">
        <f t="shared" si="72"/>
        <v>186388</v>
      </c>
      <c r="CD36" s="48">
        <f t="shared" si="72"/>
        <v>222262</v>
      </c>
      <c r="CE36" s="48">
        <f t="shared" si="72"/>
        <v>131366</v>
      </c>
      <c r="CF36" s="48">
        <f t="shared" si="72"/>
        <v>309566</v>
      </c>
      <c r="CG36" s="48">
        <f t="shared" si="72"/>
        <v>440932</v>
      </c>
      <c r="CH36" s="48">
        <f t="shared" si="72"/>
        <v>6124.13</v>
      </c>
      <c r="CI36" s="48">
        <f t="shared" si="72"/>
        <v>243825</v>
      </c>
      <c r="CJ36" s="48">
        <f t="shared" si="72"/>
        <v>249949.13</v>
      </c>
      <c r="CK36" s="48">
        <f t="shared" si="72"/>
        <v>16242</v>
      </c>
      <c r="CL36" s="48">
        <f t="shared" si="72"/>
        <v>232882</v>
      </c>
      <c r="CM36" s="48">
        <f t="shared" si="72"/>
        <v>249124</v>
      </c>
      <c r="CN36" s="48">
        <f t="shared" si="72"/>
        <v>18731</v>
      </c>
      <c r="CO36" s="48">
        <f t="shared" si="72"/>
        <v>73376</v>
      </c>
      <c r="CP36" s="48">
        <f t="shared" si="72"/>
        <v>92107</v>
      </c>
    </row>
    <row r="37" spans="1:94" s="49" customFormat="1" x14ac:dyDescent="0.25">
      <c r="A37" s="45" t="s">
        <v>40</v>
      </c>
      <c r="B37" s="48">
        <f t="shared" ref="B37:AG37" si="73">B36+B20</f>
        <v>24810</v>
      </c>
      <c r="C37" s="48">
        <f t="shared" si="73"/>
        <v>65970</v>
      </c>
      <c r="D37" s="48">
        <f t="shared" si="73"/>
        <v>90780</v>
      </c>
      <c r="E37" s="48">
        <f t="shared" si="73"/>
        <v>34464</v>
      </c>
      <c r="F37" s="48">
        <f t="shared" si="73"/>
        <v>118089</v>
      </c>
      <c r="G37" s="48">
        <f t="shared" si="73"/>
        <v>152553</v>
      </c>
      <c r="H37" s="48">
        <f t="shared" si="73"/>
        <v>296296</v>
      </c>
      <c r="I37" s="48">
        <f t="shared" si="73"/>
        <v>919575</v>
      </c>
      <c r="J37" s="48">
        <f t="shared" si="73"/>
        <v>1215871</v>
      </c>
      <c r="K37" s="48">
        <f t="shared" si="73"/>
        <v>609216</v>
      </c>
      <c r="L37" s="48">
        <f t="shared" si="73"/>
        <v>1813578</v>
      </c>
      <c r="M37" s="48">
        <f t="shared" si="73"/>
        <v>2422794</v>
      </c>
      <c r="N37" s="48">
        <f t="shared" si="73"/>
        <v>110564</v>
      </c>
      <c r="O37" s="48">
        <f t="shared" si="73"/>
        <v>246044</v>
      </c>
      <c r="P37" s="48">
        <f t="shared" si="73"/>
        <v>356608</v>
      </c>
      <c r="Q37" s="48">
        <f t="shared" si="73"/>
        <v>161703</v>
      </c>
      <c r="R37" s="48">
        <f t="shared" si="73"/>
        <v>1091680</v>
      </c>
      <c r="S37" s="48">
        <f t="shared" si="73"/>
        <v>1253383</v>
      </c>
      <c r="T37" s="48">
        <f t="shared" si="73"/>
        <v>608696.16</v>
      </c>
      <c r="U37" s="48">
        <f t="shared" si="73"/>
        <v>743961.97000000009</v>
      </c>
      <c r="V37" s="48">
        <f t="shared" si="73"/>
        <v>1352658.1300000001</v>
      </c>
      <c r="W37" s="48">
        <f t="shared" si="73"/>
        <v>9610</v>
      </c>
      <c r="X37" s="48">
        <f t="shared" si="73"/>
        <v>34753</v>
      </c>
      <c r="Y37" s="48">
        <f t="shared" si="73"/>
        <v>43654</v>
      </c>
      <c r="Z37" s="48">
        <f t="shared" si="73"/>
        <v>122996.79</v>
      </c>
      <c r="AA37" s="48">
        <f t="shared" si="73"/>
        <v>449631.55999999994</v>
      </c>
      <c r="AB37" s="48">
        <f t="shared" si="73"/>
        <v>572628.35</v>
      </c>
      <c r="AC37" s="48">
        <f t="shared" si="73"/>
        <v>160143</v>
      </c>
      <c r="AD37" s="48">
        <f t="shared" si="73"/>
        <v>764593</v>
      </c>
      <c r="AE37" s="48">
        <f t="shared" si="73"/>
        <v>924736</v>
      </c>
      <c r="AF37" s="48">
        <f t="shared" si="73"/>
        <v>372046</v>
      </c>
      <c r="AG37" s="48">
        <f t="shared" si="73"/>
        <v>1467659</v>
      </c>
      <c r="AH37" s="48">
        <f t="shared" ref="AH37:BM37" si="74">AH36+AH20</f>
        <v>1839705</v>
      </c>
      <c r="AI37" s="48">
        <f t="shared" si="74"/>
        <v>891787</v>
      </c>
      <c r="AJ37" s="48">
        <f t="shared" si="74"/>
        <v>2986837</v>
      </c>
      <c r="AK37" s="48">
        <f t="shared" si="74"/>
        <v>3878624</v>
      </c>
      <c r="AL37" s="48">
        <f t="shared" si="74"/>
        <v>255260</v>
      </c>
      <c r="AM37" s="48">
        <f t="shared" si="74"/>
        <v>1089360</v>
      </c>
      <c r="AN37" s="48">
        <f t="shared" si="74"/>
        <v>1344620</v>
      </c>
      <c r="AO37" s="48">
        <f t="shared" si="74"/>
        <v>21129</v>
      </c>
      <c r="AP37" s="48">
        <f t="shared" si="74"/>
        <v>101982</v>
      </c>
      <c r="AQ37" s="48">
        <f t="shared" si="74"/>
        <v>123111</v>
      </c>
      <c r="AR37" s="48">
        <f t="shared" si="74"/>
        <v>86572</v>
      </c>
      <c r="AS37" s="48">
        <f t="shared" si="74"/>
        <v>244887</v>
      </c>
      <c r="AT37" s="48">
        <f t="shared" si="74"/>
        <v>331459</v>
      </c>
      <c r="AU37" s="48">
        <f t="shared" si="74"/>
        <v>48273</v>
      </c>
      <c r="AV37" s="48">
        <f t="shared" si="74"/>
        <v>336173</v>
      </c>
      <c r="AW37" s="48">
        <f t="shared" si="74"/>
        <v>384446</v>
      </c>
      <c r="AX37" s="48">
        <f t="shared" si="74"/>
        <v>27971.899999999998</v>
      </c>
      <c r="AY37" s="48">
        <f t="shared" si="74"/>
        <v>65042.69</v>
      </c>
      <c r="AZ37" s="48">
        <f t="shared" si="74"/>
        <v>93014.589999999982</v>
      </c>
      <c r="BA37" s="48">
        <f t="shared" si="74"/>
        <v>86960</v>
      </c>
      <c r="BB37" s="48">
        <f t="shared" si="74"/>
        <v>153169</v>
      </c>
      <c r="BC37" s="48">
        <f t="shared" si="74"/>
        <v>240129</v>
      </c>
      <c r="BD37" s="48">
        <f t="shared" si="74"/>
        <v>317304.47000000003</v>
      </c>
      <c r="BE37" s="48">
        <f t="shared" si="74"/>
        <v>3021783.22</v>
      </c>
      <c r="BF37" s="48">
        <f t="shared" si="74"/>
        <v>3339087.6899999995</v>
      </c>
      <c r="BG37" s="48">
        <f t="shared" si="74"/>
        <v>18365</v>
      </c>
      <c r="BH37" s="48">
        <f t="shared" si="74"/>
        <v>36505</v>
      </c>
      <c r="BI37" s="48">
        <f t="shared" si="74"/>
        <v>54870</v>
      </c>
      <c r="BJ37" s="48">
        <f t="shared" si="74"/>
        <v>20221</v>
      </c>
      <c r="BK37" s="48">
        <f t="shared" si="74"/>
        <v>61238</v>
      </c>
      <c r="BL37" s="48">
        <f t="shared" si="74"/>
        <v>81459</v>
      </c>
      <c r="BM37" s="48">
        <f t="shared" si="74"/>
        <v>285836</v>
      </c>
      <c r="BN37" s="48">
        <f t="shared" ref="BN37:CP37" si="75">BN36+BN20</f>
        <v>1164799</v>
      </c>
      <c r="BO37" s="48">
        <f t="shared" si="75"/>
        <v>1450635</v>
      </c>
      <c r="BP37" s="48">
        <f t="shared" si="75"/>
        <v>120976</v>
      </c>
      <c r="BQ37" s="48">
        <f t="shared" si="75"/>
        <v>589484</v>
      </c>
      <c r="BR37" s="48">
        <f t="shared" si="75"/>
        <v>710460</v>
      </c>
      <c r="BS37" s="48">
        <f t="shared" si="75"/>
        <v>249827</v>
      </c>
      <c r="BT37" s="48">
        <f t="shared" si="75"/>
        <v>842084</v>
      </c>
      <c r="BU37" s="48">
        <f t="shared" si="75"/>
        <v>1091911</v>
      </c>
      <c r="BV37" s="48">
        <f t="shared" si="75"/>
        <v>149638</v>
      </c>
      <c r="BW37" s="48">
        <f t="shared" si="75"/>
        <v>933142</v>
      </c>
      <c r="BX37" s="48">
        <f t="shared" si="75"/>
        <v>1082780</v>
      </c>
      <c r="BY37" s="48">
        <f t="shared" si="75"/>
        <v>449388</v>
      </c>
      <c r="BZ37" s="48">
        <f t="shared" si="75"/>
        <v>687953</v>
      </c>
      <c r="CA37" s="48">
        <f t="shared" si="75"/>
        <v>1137341</v>
      </c>
      <c r="CB37" s="48">
        <f t="shared" si="75"/>
        <v>320894</v>
      </c>
      <c r="CC37" s="48">
        <f t="shared" si="75"/>
        <v>1667218</v>
      </c>
      <c r="CD37" s="48">
        <f t="shared" si="75"/>
        <v>1988112</v>
      </c>
      <c r="CE37" s="48">
        <f t="shared" si="75"/>
        <v>2164761</v>
      </c>
      <c r="CF37" s="48">
        <f t="shared" si="75"/>
        <v>4891121</v>
      </c>
      <c r="CG37" s="48">
        <f t="shared" si="75"/>
        <v>7055882</v>
      </c>
      <c r="CH37" s="48">
        <f t="shared" si="75"/>
        <v>67002.13</v>
      </c>
      <c r="CI37" s="48">
        <f t="shared" si="75"/>
        <v>2667735</v>
      </c>
      <c r="CJ37" s="48">
        <f t="shared" si="75"/>
        <v>2734737.13</v>
      </c>
      <c r="CK37" s="48">
        <f t="shared" si="75"/>
        <v>233685</v>
      </c>
      <c r="CL37" s="48">
        <f t="shared" si="75"/>
        <v>3350463</v>
      </c>
      <c r="CM37" s="48">
        <f t="shared" si="75"/>
        <v>3584148</v>
      </c>
      <c r="CN37" s="48">
        <f t="shared" si="75"/>
        <v>76084</v>
      </c>
      <c r="CO37" s="48">
        <f t="shared" si="75"/>
        <v>298060</v>
      </c>
      <c r="CP37" s="48">
        <f t="shared" si="75"/>
        <v>374144</v>
      </c>
    </row>
  </sheetData>
  <mergeCells count="32">
    <mergeCell ref="AX3:AZ3"/>
    <mergeCell ref="BA3:BC3"/>
    <mergeCell ref="BP3:BR3"/>
    <mergeCell ref="BD3:BF3"/>
    <mergeCell ref="BG3:BI3"/>
    <mergeCell ref="BJ3:BL3"/>
    <mergeCell ref="BM3:BO3"/>
    <mergeCell ref="K3:M3"/>
    <mergeCell ref="Q3:S3"/>
    <mergeCell ref="AO3:AQ3"/>
    <mergeCell ref="AR3:AT3"/>
    <mergeCell ref="AC3:AE3"/>
    <mergeCell ref="W3:Y3"/>
    <mergeCell ref="AF3:AH3"/>
    <mergeCell ref="AI3:AK3"/>
    <mergeCell ref="AL3:AN3"/>
    <mergeCell ref="A3:A4"/>
    <mergeCell ref="CN3:CP3"/>
    <mergeCell ref="CE3:CG3"/>
    <mergeCell ref="CH3:CJ3"/>
    <mergeCell ref="BV3:BX3"/>
    <mergeCell ref="BY3:CA3"/>
    <mergeCell ref="CB3:CD3"/>
    <mergeCell ref="CK3:CM3"/>
    <mergeCell ref="BS3:BU3"/>
    <mergeCell ref="AU3:AW3"/>
    <mergeCell ref="N3:P3"/>
    <mergeCell ref="T3:V3"/>
    <mergeCell ref="Z3:AB3"/>
    <mergeCell ref="B3:D3"/>
    <mergeCell ref="E3:G3"/>
    <mergeCell ref="H3:J3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style="22" customWidth="1"/>
    <col min="2" max="32" width="16" style="22" customWidth="1"/>
    <col min="33" max="33" width="16" style="7" customWidth="1"/>
    <col min="34" max="16384" width="9.140625" style="22"/>
  </cols>
  <sheetData>
    <row r="1" spans="1:33" ht="18.75" x14ac:dyDescent="0.3">
      <c r="A1" s="12" t="s">
        <v>307</v>
      </c>
    </row>
    <row r="2" spans="1:33" x14ac:dyDescent="0.25">
      <c r="A2" s="13" t="s">
        <v>98</v>
      </c>
    </row>
    <row r="3" spans="1:33" x14ac:dyDescent="0.25">
      <c r="A3" s="1" t="s">
        <v>0</v>
      </c>
      <c r="B3" s="103" t="s">
        <v>1</v>
      </c>
      <c r="C3" s="103" t="s">
        <v>234</v>
      </c>
      <c r="D3" s="103" t="s">
        <v>2</v>
      </c>
      <c r="E3" s="103" t="s">
        <v>3</v>
      </c>
      <c r="F3" s="103" t="s">
        <v>243</v>
      </c>
      <c r="G3" s="103" t="s">
        <v>235</v>
      </c>
      <c r="H3" s="103" t="s">
        <v>5</v>
      </c>
      <c r="I3" s="103" t="s">
        <v>4</v>
      </c>
      <c r="J3" s="103" t="s">
        <v>6</v>
      </c>
      <c r="K3" s="103" t="s">
        <v>246</v>
      </c>
      <c r="L3" s="103" t="s">
        <v>7</v>
      </c>
      <c r="M3" s="103" t="s">
        <v>8</v>
      </c>
      <c r="N3" s="103" t="s">
        <v>9</v>
      </c>
      <c r="O3" s="103" t="s">
        <v>242</v>
      </c>
      <c r="P3" s="103" t="s">
        <v>10</v>
      </c>
      <c r="Q3" s="103" t="s">
        <v>11</v>
      </c>
      <c r="R3" s="103" t="s">
        <v>236</v>
      </c>
      <c r="S3" s="103" t="s">
        <v>245</v>
      </c>
      <c r="T3" s="103" t="s">
        <v>12</v>
      </c>
      <c r="U3" s="103" t="s">
        <v>237</v>
      </c>
      <c r="V3" s="103" t="s">
        <v>238</v>
      </c>
      <c r="W3" s="103" t="s">
        <v>241</v>
      </c>
      <c r="X3" s="103" t="s">
        <v>13</v>
      </c>
      <c r="Y3" s="103" t="s">
        <v>14</v>
      </c>
      <c r="Z3" s="103" t="s">
        <v>15</v>
      </c>
      <c r="AA3" s="103" t="s">
        <v>16</v>
      </c>
      <c r="AB3" s="103" t="s">
        <v>17</v>
      </c>
      <c r="AC3" s="102" t="s">
        <v>239</v>
      </c>
      <c r="AD3" s="102" t="s">
        <v>240</v>
      </c>
      <c r="AE3" s="102" t="s">
        <v>18</v>
      </c>
      <c r="AF3" s="103" t="s">
        <v>19</v>
      </c>
      <c r="AG3" s="84" t="s">
        <v>20</v>
      </c>
    </row>
    <row r="4" spans="1:33" x14ac:dyDescent="0.25">
      <c r="A4" s="14" t="s">
        <v>41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178"/>
      <c r="AE4" s="24"/>
      <c r="AF4" s="24"/>
      <c r="AG4" s="63"/>
    </row>
    <row r="5" spans="1:33" x14ac:dyDescent="0.25">
      <c r="A5" s="20" t="s">
        <v>42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78"/>
      <c r="AE5" s="24"/>
      <c r="AF5" s="24"/>
      <c r="AG5" s="64"/>
    </row>
    <row r="6" spans="1:33" x14ac:dyDescent="0.25">
      <c r="A6" s="20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78"/>
      <c r="AE6" s="24"/>
      <c r="AF6" s="24"/>
      <c r="AG6" s="64"/>
    </row>
    <row r="7" spans="1:33" x14ac:dyDescent="0.25">
      <c r="A7" s="20" t="s">
        <v>44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86"/>
      <c r="T7" s="24">
        <v>2253.16</v>
      </c>
      <c r="U7" s="24"/>
      <c r="V7" s="24"/>
      <c r="W7" s="24"/>
      <c r="X7" s="24"/>
      <c r="Y7" s="24"/>
      <c r="Z7" s="24"/>
      <c r="AA7" s="24"/>
      <c r="AB7" s="24"/>
      <c r="AC7">
        <v>28578</v>
      </c>
      <c r="AD7" s="178"/>
      <c r="AE7" s="30">
        <v>15391</v>
      </c>
      <c r="AF7" s="24"/>
      <c r="AG7" s="64"/>
    </row>
    <row r="8" spans="1:33" x14ac:dyDescent="0.25">
      <c r="A8" s="20" t="s">
        <v>45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179"/>
      <c r="AE8" s="24"/>
      <c r="AF8" s="24"/>
      <c r="AG8" s="64"/>
    </row>
    <row r="9" spans="1:33" x14ac:dyDescent="0.25">
      <c r="A9" s="20" t="s">
        <v>46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179"/>
      <c r="AE9" s="24"/>
      <c r="AF9" s="24"/>
      <c r="AG9" s="64"/>
    </row>
    <row r="10" spans="1:33" x14ac:dyDescent="0.25">
      <c r="A10" s="20" t="s">
        <v>47</v>
      </c>
      <c r="B10" s="24"/>
      <c r="C10" s="24"/>
      <c r="D10" s="24">
        <v>1481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30">
        <v>3923</v>
      </c>
      <c r="AD10">
        <v>13325</v>
      </c>
      <c r="AE10" s="30">
        <v>2973</v>
      </c>
      <c r="AF10" s="24"/>
      <c r="AG10" s="64"/>
    </row>
    <row r="11" spans="1:33" x14ac:dyDescent="0.25">
      <c r="A11" s="20" t="s">
        <v>48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>
        <v>26</v>
      </c>
      <c r="R11" s="24"/>
      <c r="S11" s="86"/>
      <c r="T11" s="24">
        <v>1008.18</v>
      </c>
      <c r="U11" s="24"/>
      <c r="V11" s="24"/>
      <c r="W11" s="24"/>
      <c r="X11" s="24"/>
      <c r="Y11" s="24"/>
      <c r="Z11" s="24"/>
      <c r="AA11" s="24"/>
      <c r="AB11" s="24"/>
      <c r="AC11" s="24"/>
      <c r="AD11" s="180">
        <v>643</v>
      </c>
      <c r="AE11" s="30">
        <v>1139</v>
      </c>
      <c r="AF11" s="24"/>
      <c r="AG11" s="64"/>
    </row>
    <row r="12" spans="1:33" s="7" customFormat="1" x14ac:dyDescent="0.25">
      <c r="A12" s="3" t="s">
        <v>40</v>
      </c>
      <c r="B12" s="10">
        <f>SUM(B5:B11)</f>
        <v>0</v>
      </c>
      <c r="C12" s="10">
        <f t="shared" ref="C12:AB12" si="0">SUM(C5:C11)</f>
        <v>0</v>
      </c>
      <c r="D12" s="10">
        <f t="shared" si="0"/>
        <v>1481</v>
      </c>
      <c r="E12" s="10">
        <f t="shared" si="0"/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 t="shared" si="0"/>
        <v>0</v>
      </c>
      <c r="Q12" s="10">
        <f t="shared" si="0"/>
        <v>26</v>
      </c>
      <c r="R12" s="10">
        <f t="shared" si="0"/>
        <v>0</v>
      </c>
      <c r="S12" s="10">
        <f t="shared" si="0"/>
        <v>0</v>
      </c>
      <c r="T12" s="10">
        <f t="shared" si="0"/>
        <v>3261.3399999999997</v>
      </c>
      <c r="U12" s="10">
        <f t="shared" si="0"/>
        <v>0</v>
      </c>
      <c r="V12" s="10">
        <f t="shared" si="0"/>
        <v>0</v>
      </c>
      <c r="W12" s="10">
        <f t="shared" si="0"/>
        <v>0</v>
      </c>
      <c r="X12" s="10">
        <f t="shared" si="0"/>
        <v>0</v>
      </c>
      <c r="Y12" s="10">
        <f t="shared" si="0"/>
        <v>0</v>
      </c>
      <c r="Z12" s="10">
        <f t="shared" si="0"/>
        <v>0</v>
      </c>
      <c r="AA12" s="10">
        <f t="shared" si="0"/>
        <v>0</v>
      </c>
      <c r="AB12" s="10">
        <f t="shared" si="0"/>
        <v>0</v>
      </c>
      <c r="AC12" s="10">
        <f t="shared" ref="AC12:AF12" si="1">SUM(AC5:AC11)</f>
        <v>32501</v>
      </c>
      <c r="AD12" s="181">
        <f>SUM(AD5:AD11)</f>
        <v>13968</v>
      </c>
      <c r="AE12" s="10">
        <f t="shared" si="1"/>
        <v>19503</v>
      </c>
      <c r="AF12" s="10">
        <f t="shared" si="1"/>
        <v>0</v>
      </c>
      <c r="AG12" s="63">
        <f t="shared" ref="AG12" si="2">SUM(B12:AF12)</f>
        <v>70740.34</v>
      </c>
    </row>
    <row r="13" spans="1:33" x14ac:dyDescent="0.25">
      <c r="A13" s="14" t="s">
        <v>49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178"/>
      <c r="AE13" s="24"/>
      <c r="AF13" s="24"/>
      <c r="AG13" s="63"/>
    </row>
    <row r="14" spans="1:33" x14ac:dyDescent="0.25">
      <c r="A14" s="20" t="s">
        <v>50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86"/>
      <c r="T14" s="24">
        <v>365.88</v>
      </c>
      <c r="U14" s="24"/>
      <c r="V14" s="24"/>
      <c r="W14" s="24"/>
      <c r="X14" s="24"/>
      <c r="Y14" s="24"/>
      <c r="Z14" s="24"/>
      <c r="AA14" s="24"/>
      <c r="AB14" s="24"/>
      <c r="AC14">
        <v>1748</v>
      </c>
      <c r="AD14" s="182">
        <v>984</v>
      </c>
      <c r="AE14" s="30">
        <v>2973</v>
      </c>
      <c r="AF14" s="24"/>
      <c r="AG14" s="64"/>
    </row>
    <row r="15" spans="1:33" x14ac:dyDescent="0.25">
      <c r="A15" s="20" t="s">
        <v>51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78"/>
      <c r="AE15" s="24"/>
      <c r="AF15" s="24"/>
      <c r="AG15" s="64"/>
    </row>
    <row r="16" spans="1:33" x14ac:dyDescent="0.25">
      <c r="A16" s="20" t="s">
        <v>52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78"/>
      <c r="AE16" s="24"/>
      <c r="AF16" s="24"/>
      <c r="AG16" s="64"/>
    </row>
    <row r="17" spans="1:33" x14ac:dyDescent="0.25">
      <c r="A17" s="20" t="s">
        <v>53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86"/>
      <c r="T17" s="24">
        <v>2889.07</v>
      </c>
      <c r="U17" s="24"/>
      <c r="V17" s="24"/>
      <c r="W17" s="24"/>
      <c r="X17" s="24"/>
      <c r="Y17" s="24"/>
      <c r="Z17" s="24"/>
      <c r="AA17" s="24"/>
      <c r="AB17" s="24"/>
      <c r="AC17" s="24"/>
      <c r="AD17" s="182">
        <v>1415</v>
      </c>
      <c r="AE17" s="30">
        <v>1558</v>
      </c>
      <c r="AF17" s="24"/>
      <c r="AG17" s="64"/>
    </row>
    <row r="18" spans="1:33" x14ac:dyDescent="0.25">
      <c r="A18" s="20" t="s">
        <v>54</v>
      </c>
      <c r="B18" s="24"/>
      <c r="C18" s="24"/>
      <c r="D18" s="24">
        <v>1481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>
        <v>26</v>
      </c>
      <c r="R18" s="24"/>
      <c r="S18" s="86"/>
      <c r="T18" s="24">
        <v>6.39</v>
      </c>
      <c r="U18" s="24"/>
      <c r="V18" s="24"/>
      <c r="W18" s="24"/>
      <c r="X18" s="24"/>
      <c r="Y18" s="24"/>
      <c r="Z18" s="24"/>
      <c r="AA18" s="24"/>
      <c r="AB18" s="24"/>
      <c r="AC18">
        <v>30753</v>
      </c>
      <c r="AD18" s="182">
        <v>11569</v>
      </c>
      <c r="AE18" s="30">
        <v>14972</v>
      </c>
      <c r="AF18" s="24"/>
      <c r="AG18" s="64"/>
    </row>
    <row r="19" spans="1:33" s="7" customFormat="1" x14ac:dyDescent="0.25">
      <c r="A19" s="3" t="s">
        <v>40</v>
      </c>
      <c r="B19" s="10">
        <f>SUM(B14:B18)</f>
        <v>0</v>
      </c>
      <c r="C19" s="10">
        <f t="shared" ref="C19:AB19" si="3">SUM(C14:C18)</f>
        <v>0</v>
      </c>
      <c r="D19" s="10">
        <f t="shared" si="3"/>
        <v>1481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  <c r="O19" s="10">
        <f t="shared" si="3"/>
        <v>0</v>
      </c>
      <c r="P19" s="10">
        <f t="shared" si="3"/>
        <v>0</v>
      </c>
      <c r="Q19" s="10">
        <f t="shared" si="3"/>
        <v>26</v>
      </c>
      <c r="R19" s="10">
        <f t="shared" si="3"/>
        <v>0</v>
      </c>
      <c r="S19" s="10">
        <f t="shared" si="3"/>
        <v>0</v>
      </c>
      <c r="T19" s="10">
        <f t="shared" si="3"/>
        <v>3261.34</v>
      </c>
      <c r="U19" s="10">
        <f t="shared" si="3"/>
        <v>0</v>
      </c>
      <c r="V19" s="10">
        <f t="shared" si="3"/>
        <v>0</v>
      </c>
      <c r="W19" s="10">
        <f t="shared" si="3"/>
        <v>0</v>
      </c>
      <c r="X19" s="10">
        <f t="shared" si="3"/>
        <v>0</v>
      </c>
      <c r="Y19" s="10">
        <f t="shared" si="3"/>
        <v>0</v>
      </c>
      <c r="Z19" s="10">
        <f t="shared" si="3"/>
        <v>0</v>
      </c>
      <c r="AA19" s="10">
        <f t="shared" si="3"/>
        <v>0</v>
      </c>
      <c r="AB19" s="10">
        <f t="shared" si="3"/>
        <v>0</v>
      </c>
      <c r="AC19" s="10">
        <f t="shared" ref="AC19:AF19" si="4">SUM(AC14:AC18)</f>
        <v>32501</v>
      </c>
      <c r="AD19" s="183">
        <f t="shared" si="4"/>
        <v>13968</v>
      </c>
      <c r="AE19" s="10">
        <f t="shared" si="4"/>
        <v>19503</v>
      </c>
      <c r="AF19" s="10">
        <f t="shared" si="4"/>
        <v>0</v>
      </c>
      <c r="AG19" s="63">
        <f t="shared" ref="AG19" si="5">SUM(B19:AF19)</f>
        <v>70740.34</v>
      </c>
    </row>
    <row r="20" spans="1:33" x14ac:dyDescent="0.25">
      <c r="A20" s="14" t="s">
        <v>55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178"/>
      <c r="AE20" s="24"/>
      <c r="AF20" s="24"/>
      <c r="AG20" s="63"/>
    </row>
    <row r="21" spans="1:33" x14ac:dyDescent="0.25">
      <c r="A21" s="20" t="s">
        <v>56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178"/>
      <c r="AE21" s="24"/>
      <c r="AF21" s="24"/>
      <c r="AG21" s="64"/>
    </row>
    <row r="22" spans="1:33" x14ac:dyDescent="0.25">
      <c r="A22" s="20" t="s">
        <v>44</v>
      </c>
      <c r="B22" s="24"/>
      <c r="C22" s="24"/>
      <c r="D22" s="24">
        <v>1481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>
        <v>26</v>
      </c>
      <c r="R22" s="24"/>
      <c r="S22" s="86"/>
      <c r="T22" s="24">
        <v>381.02</v>
      </c>
      <c r="U22" s="24"/>
      <c r="V22" s="24"/>
      <c r="W22" s="24"/>
      <c r="X22" s="24"/>
      <c r="Y22" s="24"/>
      <c r="Z22" s="24"/>
      <c r="AA22" s="24"/>
      <c r="AB22" s="24"/>
      <c r="AC22">
        <v>32501</v>
      </c>
      <c r="AD22" s="182">
        <v>12543</v>
      </c>
      <c r="AE22" s="30">
        <v>17842</v>
      </c>
      <c r="AF22" s="24"/>
      <c r="AG22" s="64"/>
    </row>
    <row r="23" spans="1:33" x14ac:dyDescent="0.25">
      <c r="A23" s="20" t="s">
        <v>45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178"/>
      <c r="AE23" s="24"/>
      <c r="AF23" s="24"/>
      <c r="AG23" s="64"/>
    </row>
    <row r="24" spans="1:33" x14ac:dyDescent="0.25">
      <c r="A24" s="20" t="s">
        <v>57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178"/>
      <c r="AE24" s="24"/>
      <c r="AF24" s="24"/>
      <c r="AG24" s="64"/>
    </row>
    <row r="25" spans="1:33" x14ac:dyDescent="0.25">
      <c r="A25" s="20" t="s">
        <v>44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86"/>
      <c r="T25" s="24">
        <v>2880.31</v>
      </c>
      <c r="U25" s="24"/>
      <c r="V25" s="24"/>
      <c r="W25" s="24"/>
      <c r="X25" s="24"/>
      <c r="Y25" s="24"/>
      <c r="Z25" s="24"/>
      <c r="AA25" s="24"/>
      <c r="AB25" s="24"/>
      <c r="AC25" s="24"/>
      <c r="AD25" s="178"/>
      <c r="AE25" s="30">
        <v>1661</v>
      </c>
      <c r="AF25" s="24"/>
      <c r="AG25" s="64"/>
    </row>
    <row r="26" spans="1:33" x14ac:dyDescent="0.25">
      <c r="A26" s="20" t="s">
        <v>45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178"/>
      <c r="AE26" s="24"/>
      <c r="AF26" s="24"/>
      <c r="AG26" s="64"/>
    </row>
    <row r="27" spans="1:33" x14ac:dyDescent="0.25">
      <c r="A27" s="20" t="s">
        <v>58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182">
        <v>1425</v>
      </c>
      <c r="AE27" s="24"/>
      <c r="AF27" s="24"/>
      <c r="AG27" s="64"/>
    </row>
    <row r="28" spans="1:33" s="7" customFormat="1" x14ac:dyDescent="0.25">
      <c r="A28" s="3" t="s">
        <v>40</v>
      </c>
      <c r="B28" s="10">
        <f>SUM(B21:B27)</f>
        <v>0</v>
      </c>
      <c r="C28" s="10">
        <f t="shared" ref="C28:AB28" si="6">SUM(C21:C27)</f>
        <v>0</v>
      </c>
      <c r="D28" s="10">
        <f t="shared" si="6"/>
        <v>1481</v>
      </c>
      <c r="E28" s="10">
        <f t="shared" si="6"/>
        <v>0</v>
      </c>
      <c r="F28" s="10">
        <f t="shared" si="6"/>
        <v>0</v>
      </c>
      <c r="G28" s="10">
        <f t="shared" si="6"/>
        <v>0</v>
      </c>
      <c r="H28" s="10">
        <f t="shared" si="6"/>
        <v>0</v>
      </c>
      <c r="I28" s="10">
        <f t="shared" si="6"/>
        <v>0</v>
      </c>
      <c r="J28" s="10">
        <f t="shared" si="6"/>
        <v>0</v>
      </c>
      <c r="K28" s="10">
        <f t="shared" si="6"/>
        <v>0</v>
      </c>
      <c r="L28" s="10">
        <f t="shared" si="6"/>
        <v>0</v>
      </c>
      <c r="M28" s="10">
        <f t="shared" si="6"/>
        <v>0</v>
      </c>
      <c r="N28" s="10">
        <f t="shared" si="6"/>
        <v>0</v>
      </c>
      <c r="O28" s="10">
        <f t="shared" si="6"/>
        <v>0</v>
      </c>
      <c r="P28" s="10">
        <f t="shared" si="6"/>
        <v>0</v>
      </c>
      <c r="Q28" s="10">
        <f t="shared" si="6"/>
        <v>26</v>
      </c>
      <c r="R28" s="10">
        <f t="shared" si="6"/>
        <v>0</v>
      </c>
      <c r="S28" s="10">
        <f t="shared" si="6"/>
        <v>0</v>
      </c>
      <c r="T28" s="10">
        <f t="shared" si="6"/>
        <v>3261.33</v>
      </c>
      <c r="U28" s="10">
        <f t="shared" si="6"/>
        <v>0</v>
      </c>
      <c r="V28" s="10">
        <f t="shared" si="6"/>
        <v>0</v>
      </c>
      <c r="W28" s="10">
        <f t="shared" si="6"/>
        <v>0</v>
      </c>
      <c r="X28" s="10">
        <f t="shared" si="6"/>
        <v>0</v>
      </c>
      <c r="Y28" s="10">
        <f t="shared" si="6"/>
        <v>0</v>
      </c>
      <c r="Z28" s="10">
        <f t="shared" si="6"/>
        <v>0</v>
      </c>
      <c r="AA28" s="10">
        <f t="shared" si="6"/>
        <v>0</v>
      </c>
      <c r="AB28" s="10">
        <f t="shared" si="6"/>
        <v>0</v>
      </c>
      <c r="AC28" s="10">
        <f t="shared" ref="AC28:AF28" si="7">SUM(AC21:AC27)</f>
        <v>32501</v>
      </c>
      <c r="AD28" s="183">
        <f t="shared" si="7"/>
        <v>13968</v>
      </c>
      <c r="AE28" s="10">
        <f t="shared" si="7"/>
        <v>19503</v>
      </c>
      <c r="AF28" s="10">
        <f t="shared" si="7"/>
        <v>0</v>
      </c>
      <c r="AG28" s="63">
        <f t="shared" ref="AG28" si="8">SUM(B28:AF28)</f>
        <v>70740.33</v>
      </c>
    </row>
    <row r="29" spans="1:33" x14ac:dyDescent="0.25">
      <c r="A29" s="14" t="s">
        <v>59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178"/>
      <c r="AE29" s="24"/>
      <c r="AF29" s="24"/>
      <c r="AG29" s="63"/>
    </row>
    <row r="30" spans="1:33" x14ac:dyDescent="0.25">
      <c r="A30" s="20" t="s">
        <v>60</v>
      </c>
      <c r="B30" s="24"/>
      <c r="C30" s="24"/>
      <c r="D30" s="24">
        <v>157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86"/>
      <c r="T30" s="24">
        <v>53.72</v>
      </c>
      <c r="U30" s="24"/>
      <c r="V30" s="24"/>
      <c r="W30" s="24"/>
      <c r="X30" s="24"/>
      <c r="Y30" s="24"/>
      <c r="Z30" s="24"/>
      <c r="AA30" s="24"/>
      <c r="AB30" s="24"/>
      <c r="AC30" s="24">
        <v>407</v>
      </c>
      <c r="AD30" s="182">
        <v>386</v>
      </c>
      <c r="AE30" s="30">
        <v>835</v>
      </c>
      <c r="AF30" s="24"/>
      <c r="AG30" s="64"/>
    </row>
    <row r="31" spans="1:33" x14ac:dyDescent="0.25">
      <c r="A31" s="20" t="s">
        <v>61</v>
      </c>
      <c r="B31" s="24"/>
      <c r="C31" s="24"/>
      <c r="D31" s="24">
        <v>1323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>
        <v>26</v>
      </c>
      <c r="R31" s="24"/>
      <c r="S31" s="86"/>
      <c r="T31" s="24">
        <v>3207.61</v>
      </c>
      <c r="U31" s="24"/>
      <c r="V31" s="24"/>
      <c r="W31" s="24"/>
      <c r="X31" s="24"/>
      <c r="Y31" s="24"/>
      <c r="Z31" s="24"/>
      <c r="AA31" s="24"/>
      <c r="AB31" s="24"/>
      <c r="AC31" s="24">
        <v>32094</v>
      </c>
      <c r="AD31" s="182">
        <v>13593</v>
      </c>
      <c r="AE31" s="30">
        <v>18669</v>
      </c>
      <c r="AF31" s="24"/>
      <c r="AG31" s="64"/>
    </row>
    <row r="32" spans="1:33" s="7" customFormat="1" x14ac:dyDescent="0.25">
      <c r="A32" s="3" t="s">
        <v>40</v>
      </c>
      <c r="B32" s="10">
        <f>SUM(B30:B31)</f>
        <v>0</v>
      </c>
      <c r="C32" s="10">
        <f t="shared" ref="C32:AB32" si="9">SUM(C30:C31)</f>
        <v>0</v>
      </c>
      <c r="D32" s="10">
        <f t="shared" si="9"/>
        <v>1480</v>
      </c>
      <c r="E32" s="10">
        <f t="shared" si="9"/>
        <v>0</v>
      </c>
      <c r="F32" s="10">
        <f t="shared" si="9"/>
        <v>0</v>
      </c>
      <c r="G32" s="10">
        <f t="shared" si="9"/>
        <v>0</v>
      </c>
      <c r="H32" s="10">
        <f t="shared" si="9"/>
        <v>0</v>
      </c>
      <c r="I32" s="10">
        <f t="shared" si="9"/>
        <v>0</v>
      </c>
      <c r="J32" s="10">
        <f t="shared" si="9"/>
        <v>0</v>
      </c>
      <c r="K32" s="10">
        <f t="shared" si="9"/>
        <v>0</v>
      </c>
      <c r="L32" s="10">
        <f t="shared" si="9"/>
        <v>0</v>
      </c>
      <c r="M32" s="10">
        <f t="shared" si="9"/>
        <v>0</v>
      </c>
      <c r="N32" s="10">
        <f t="shared" si="9"/>
        <v>0</v>
      </c>
      <c r="O32" s="10">
        <f t="shared" si="9"/>
        <v>0</v>
      </c>
      <c r="P32" s="10">
        <f t="shared" si="9"/>
        <v>0</v>
      </c>
      <c r="Q32" s="10">
        <f t="shared" si="9"/>
        <v>26</v>
      </c>
      <c r="R32" s="10">
        <f t="shared" si="9"/>
        <v>0</v>
      </c>
      <c r="S32" s="10">
        <f t="shared" si="9"/>
        <v>0</v>
      </c>
      <c r="T32" s="10">
        <f t="shared" si="9"/>
        <v>3261.33</v>
      </c>
      <c r="U32" s="10">
        <f t="shared" si="9"/>
        <v>0</v>
      </c>
      <c r="V32" s="10">
        <f t="shared" si="9"/>
        <v>0</v>
      </c>
      <c r="W32" s="10">
        <f t="shared" si="9"/>
        <v>0</v>
      </c>
      <c r="X32" s="10">
        <f t="shared" si="9"/>
        <v>0</v>
      </c>
      <c r="Y32" s="10">
        <f t="shared" si="9"/>
        <v>0</v>
      </c>
      <c r="Z32" s="10">
        <f t="shared" si="9"/>
        <v>0</v>
      </c>
      <c r="AA32" s="10">
        <f t="shared" si="9"/>
        <v>0</v>
      </c>
      <c r="AB32" s="10">
        <f t="shared" si="9"/>
        <v>0</v>
      </c>
      <c r="AC32" s="10">
        <f t="shared" ref="AC32:AF32" si="10">SUM(AC30:AC31)</f>
        <v>32501</v>
      </c>
      <c r="AD32" s="183">
        <f t="shared" si="10"/>
        <v>13979</v>
      </c>
      <c r="AE32" s="10">
        <f t="shared" si="10"/>
        <v>19504</v>
      </c>
      <c r="AF32" s="10">
        <f t="shared" si="10"/>
        <v>0</v>
      </c>
      <c r="AG32" s="63">
        <f>SUM(B32:AF32)</f>
        <v>70751.33</v>
      </c>
    </row>
    <row r="52" spans="30:30" x14ac:dyDescent="0.25">
      <c r="AD52" s="22">
        <v>1108872</v>
      </c>
    </row>
    <row r="53" spans="30:30" x14ac:dyDescent="0.25">
      <c r="AD53" s="22">
        <v>263612</v>
      </c>
    </row>
    <row r="54" spans="30:30" x14ac:dyDescent="0.25">
      <c r="AD54" s="22">
        <f>SUM(AD52:AD53)</f>
        <v>1372484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16" width="16" style="71" customWidth="1"/>
    <col min="17" max="17" width="18.140625" style="71" customWidth="1"/>
    <col min="18" max="29" width="16" style="71" customWidth="1"/>
    <col min="30" max="30" width="16" style="43" customWidth="1"/>
    <col min="31" max="32" width="16" style="71" customWidth="1"/>
    <col min="33" max="33" width="16" style="7" customWidth="1"/>
    <col min="34" max="16384" width="9.140625" style="71"/>
  </cols>
  <sheetData>
    <row r="1" spans="1:33" ht="18.75" x14ac:dyDescent="0.3">
      <c r="A1" s="12" t="s">
        <v>306</v>
      </c>
    </row>
    <row r="2" spans="1:33" x14ac:dyDescent="0.25">
      <c r="A2" s="5" t="s">
        <v>98</v>
      </c>
    </row>
    <row r="3" spans="1:33" x14ac:dyDescent="0.25">
      <c r="A3" s="1" t="s">
        <v>0</v>
      </c>
      <c r="B3" s="144" t="s">
        <v>1</v>
      </c>
      <c r="C3" s="144" t="s">
        <v>234</v>
      </c>
      <c r="D3" s="144" t="s">
        <v>2</v>
      </c>
      <c r="E3" s="144" t="s">
        <v>3</v>
      </c>
      <c r="F3" s="144" t="s">
        <v>243</v>
      </c>
      <c r="G3" s="144" t="s">
        <v>235</v>
      </c>
      <c r="H3" s="144" t="s">
        <v>5</v>
      </c>
      <c r="I3" s="144" t="s">
        <v>4</v>
      </c>
      <c r="J3" s="144" t="s">
        <v>6</v>
      </c>
      <c r="K3" s="144" t="s">
        <v>246</v>
      </c>
      <c r="L3" s="144" t="s">
        <v>7</v>
      </c>
      <c r="M3" s="144" t="s">
        <v>8</v>
      </c>
      <c r="N3" s="144" t="s">
        <v>9</v>
      </c>
      <c r="O3" s="144" t="s">
        <v>242</v>
      </c>
      <c r="P3" s="144" t="s">
        <v>10</v>
      </c>
      <c r="Q3" s="144" t="s">
        <v>11</v>
      </c>
      <c r="R3" s="144" t="s">
        <v>236</v>
      </c>
      <c r="S3" s="144" t="s">
        <v>245</v>
      </c>
      <c r="T3" s="144" t="s">
        <v>12</v>
      </c>
      <c r="U3" s="144" t="s">
        <v>237</v>
      </c>
      <c r="V3" s="144" t="s">
        <v>238</v>
      </c>
      <c r="W3" s="144" t="s">
        <v>241</v>
      </c>
      <c r="X3" s="144" t="s">
        <v>13</v>
      </c>
      <c r="Y3" s="144" t="s">
        <v>14</v>
      </c>
      <c r="Z3" s="144" t="s">
        <v>15</v>
      </c>
      <c r="AA3" s="144" t="s">
        <v>16</v>
      </c>
      <c r="AB3" s="144" t="s">
        <v>17</v>
      </c>
      <c r="AC3" s="143" t="s">
        <v>239</v>
      </c>
      <c r="AD3" s="143" t="s">
        <v>240</v>
      </c>
      <c r="AE3" s="143" t="s">
        <v>18</v>
      </c>
      <c r="AF3" s="144" t="s">
        <v>19</v>
      </c>
      <c r="AG3" s="142" t="s">
        <v>20</v>
      </c>
    </row>
    <row r="4" spans="1:33" x14ac:dyDescent="0.25">
      <c r="A4" s="2" t="s">
        <v>62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46"/>
      <c r="AE4" s="46"/>
      <c r="AF4" s="91"/>
      <c r="AG4" s="63">
        <f t="shared" ref="AG4:AG19" si="0">SUM(B4:AF4)</f>
        <v>0</v>
      </c>
    </row>
    <row r="5" spans="1:33" x14ac:dyDescent="0.25">
      <c r="A5" s="2" t="s">
        <v>63</v>
      </c>
      <c r="B5" s="91">
        <v>4</v>
      </c>
      <c r="C5" s="91">
        <v>8968</v>
      </c>
      <c r="D5" s="91">
        <v>1908</v>
      </c>
      <c r="E5" s="91">
        <v>4271</v>
      </c>
      <c r="F5" s="91">
        <v>2576</v>
      </c>
      <c r="G5" s="91">
        <v>1974</v>
      </c>
      <c r="H5" s="91">
        <v>167.77</v>
      </c>
      <c r="I5" s="91">
        <v>1220</v>
      </c>
      <c r="J5" s="91">
        <v>823.82</v>
      </c>
      <c r="K5" s="91">
        <v>200</v>
      </c>
      <c r="L5" s="91">
        <v>7158</v>
      </c>
      <c r="M5" s="91">
        <v>17887</v>
      </c>
      <c r="N5" s="91">
        <v>2103</v>
      </c>
      <c r="O5" s="91">
        <v>308</v>
      </c>
      <c r="P5" s="153">
        <v>2412</v>
      </c>
      <c r="Q5" s="91">
        <v>1735</v>
      </c>
      <c r="R5" s="91">
        <v>1143.23</v>
      </c>
      <c r="S5" s="91">
        <v>2513</v>
      </c>
      <c r="T5" s="91">
        <v>3637</v>
      </c>
      <c r="U5" s="91"/>
      <c r="V5" s="91">
        <v>433</v>
      </c>
      <c r="W5" s="91">
        <v>6688</v>
      </c>
      <c r="X5" s="91">
        <v>1316</v>
      </c>
      <c r="Y5" s="91">
        <v>7425</v>
      </c>
      <c r="Z5" s="91">
        <v>100</v>
      </c>
      <c r="AA5" s="91">
        <v>5294</v>
      </c>
      <c r="AB5" s="91">
        <v>14402</v>
      </c>
      <c r="AC5" s="91">
        <v>8204</v>
      </c>
      <c r="AD5" s="91">
        <v>376</v>
      </c>
      <c r="AE5" s="91">
        <v>4750</v>
      </c>
      <c r="AF5" s="91">
        <v>404</v>
      </c>
      <c r="AG5" s="64">
        <f t="shared" si="0"/>
        <v>110400.82</v>
      </c>
    </row>
    <row r="6" spans="1:33" x14ac:dyDescent="0.25">
      <c r="A6" s="2" t="s">
        <v>64</v>
      </c>
      <c r="B6" s="91"/>
      <c r="C6" s="91"/>
      <c r="D6" s="91"/>
      <c r="E6" s="91">
        <v>9031</v>
      </c>
      <c r="F6" s="91"/>
      <c r="G6" s="91">
        <v>587</v>
      </c>
      <c r="H6" s="91">
        <v>7481.52</v>
      </c>
      <c r="I6" s="91"/>
      <c r="J6" s="91"/>
      <c r="K6" s="91"/>
      <c r="L6" s="91"/>
      <c r="M6" s="91">
        <v>24118</v>
      </c>
      <c r="N6" s="91">
        <v>378</v>
      </c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>
        <v>116</v>
      </c>
      <c r="AB6" s="91">
        <v>590</v>
      </c>
      <c r="AC6" s="91">
        <v>134390</v>
      </c>
      <c r="AD6" s="91">
        <v>595</v>
      </c>
      <c r="AE6" s="91">
        <v>1435</v>
      </c>
      <c r="AF6" s="91"/>
      <c r="AG6" s="64">
        <f t="shared" si="0"/>
        <v>178721.52000000002</v>
      </c>
    </row>
    <row r="7" spans="1:33" x14ac:dyDescent="0.25">
      <c r="A7" s="2" t="s">
        <v>65</v>
      </c>
      <c r="B7" s="91"/>
      <c r="C7" s="91"/>
      <c r="D7" s="91"/>
      <c r="E7" s="91">
        <v>132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>
        <v>65</v>
      </c>
      <c r="U7" s="91"/>
      <c r="V7" s="91"/>
      <c r="W7" s="91"/>
      <c r="X7" s="91"/>
      <c r="Y7" s="91"/>
      <c r="Z7" s="91">
        <v>2057</v>
      </c>
      <c r="AA7" s="91"/>
      <c r="AB7" s="91"/>
      <c r="AC7" s="91"/>
      <c r="AD7" s="46"/>
      <c r="AE7" s="46">
        <v>1818</v>
      </c>
      <c r="AF7" s="91"/>
      <c r="AG7" s="64">
        <f t="shared" si="0"/>
        <v>4072</v>
      </c>
    </row>
    <row r="8" spans="1:33" x14ac:dyDescent="0.25">
      <c r="A8" s="2" t="s">
        <v>66</v>
      </c>
      <c r="B8" s="91"/>
      <c r="C8" s="91"/>
      <c r="D8" s="91">
        <v>9695</v>
      </c>
      <c r="E8" s="91"/>
      <c r="F8" s="91">
        <v>103</v>
      </c>
      <c r="G8" s="91"/>
      <c r="H8" s="91">
        <v>5275.86</v>
      </c>
      <c r="I8" s="91"/>
      <c r="J8" s="91">
        <v>481.74</v>
      </c>
      <c r="K8" s="91">
        <v>648</v>
      </c>
      <c r="L8" s="91">
        <v>35</v>
      </c>
      <c r="M8" s="91"/>
      <c r="N8" s="91"/>
      <c r="O8" s="91">
        <v>2</v>
      </c>
      <c r="P8" s="91">
        <v>165</v>
      </c>
      <c r="Q8" s="91">
        <v>83</v>
      </c>
      <c r="R8" s="91">
        <v>46.88</v>
      </c>
      <c r="S8" s="91">
        <v>967</v>
      </c>
      <c r="T8" s="91">
        <v>2861</v>
      </c>
      <c r="U8" s="91">
        <v>3</v>
      </c>
      <c r="V8" s="91">
        <v>54</v>
      </c>
      <c r="W8" s="91">
        <v>294</v>
      </c>
      <c r="X8" s="91">
        <v>191</v>
      </c>
      <c r="Y8" s="91">
        <v>1123</v>
      </c>
      <c r="Z8" s="91">
        <v>109</v>
      </c>
      <c r="AA8" s="91"/>
      <c r="AB8" s="91">
        <v>307</v>
      </c>
      <c r="AC8" s="91">
        <v>284171</v>
      </c>
      <c r="AD8" s="91">
        <v>34798</v>
      </c>
      <c r="AE8" s="91"/>
      <c r="AF8" s="91"/>
      <c r="AG8" s="64">
        <f t="shared" si="0"/>
        <v>341413.48</v>
      </c>
    </row>
    <row r="9" spans="1:33" x14ac:dyDescent="0.25">
      <c r="A9" s="2" t="s">
        <v>67</v>
      </c>
      <c r="B9" s="91"/>
      <c r="C9" s="91"/>
      <c r="D9" s="91">
        <v>3553</v>
      </c>
      <c r="E9" s="91">
        <v>22218</v>
      </c>
      <c r="F9" s="91"/>
      <c r="G9" s="91">
        <v>3570</v>
      </c>
      <c r="H9" s="91">
        <v>2689.62</v>
      </c>
      <c r="I9" s="91"/>
      <c r="J9" s="91"/>
      <c r="K9" s="91">
        <v>8821</v>
      </c>
      <c r="L9" s="91">
        <v>13313</v>
      </c>
      <c r="M9" s="91">
        <v>3550</v>
      </c>
      <c r="N9" s="91">
        <v>99</v>
      </c>
      <c r="O9" s="91"/>
      <c r="P9" s="91"/>
      <c r="Q9" s="91"/>
      <c r="R9" s="91"/>
      <c r="S9" s="91"/>
      <c r="T9" s="91">
        <v>7252</v>
      </c>
      <c r="U9" s="91"/>
      <c r="V9" s="91"/>
      <c r="W9" s="91"/>
      <c r="X9" s="91"/>
      <c r="Y9" s="91">
        <v>10339</v>
      </c>
      <c r="Z9" s="91">
        <v>1405</v>
      </c>
      <c r="AA9" s="91">
        <v>620</v>
      </c>
      <c r="AB9" s="91">
        <v>7369</v>
      </c>
      <c r="AC9" s="91">
        <v>1495000</v>
      </c>
      <c r="AD9" s="91">
        <v>5714</v>
      </c>
      <c r="AE9" s="91">
        <v>3386</v>
      </c>
      <c r="AF9" s="91"/>
      <c r="AG9" s="64">
        <f t="shared" si="0"/>
        <v>1588898.62</v>
      </c>
    </row>
    <row r="10" spans="1:33" x14ac:dyDescent="0.25">
      <c r="A10" s="2" t="s">
        <v>68</v>
      </c>
      <c r="B10" s="91">
        <v>1</v>
      </c>
      <c r="C10" s="91">
        <v>89</v>
      </c>
      <c r="D10" s="91">
        <v>416</v>
      </c>
      <c r="E10" s="91">
        <v>895</v>
      </c>
      <c r="F10" s="91">
        <v>38</v>
      </c>
      <c r="G10" s="91">
        <v>57</v>
      </c>
      <c r="H10" s="91">
        <v>547.32000000000005</v>
      </c>
      <c r="I10" s="91">
        <v>9</v>
      </c>
      <c r="J10" s="91">
        <v>113.45</v>
      </c>
      <c r="K10" s="91">
        <v>275</v>
      </c>
      <c r="L10" s="91">
        <v>1691</v>
      </c>
      <c r="M10" s="91">
        <v>3458</v>
      </c>
      <c r="N10" s="91">
        <v>4862</v>
      </c>
      <c r="O10" s="91">
        <v>1.23</v>
      </c>
      <c r="P10" s="91">
        <v>7</v>
      </c>
      <c r="Q10" s="91">
        <v>2</v>
      </c>
      <c r="R10" s="91">
        <v>26.73</v>
      </c>
      <c r="S10" s="91">
        <v>179</v>
      </c>
      <c r="T10" s="91">
        <v>1066</v>
      </c>
      <c r="U10" s="91">
        <v>18</v>
      </c>
      <c r="V10" s="91">
        <v>35</v>
      </c>
      <c r="W10" s="91">
        <v>240</v>
      </c>
      <c r="X10" s="91">
        <v>76</v>
      </c>
      <c r="Y10" s="91">
        <v>532</v>
      </c>
      <c r="Z10" s="91">
        <v>323</v>
      </c>
      <c r="AA10" s="91">
        <v>1296</v>
      </c>
      <c r="AB10" s="91">
        <v>89</v>
      </c>
      <c r="AC10" s="91">
        <v>305090</v>
      </c>
      <c r="AD10" s="46">
        <v>736</v>
      </c>
      <c r="AE10" s="46">
        <v>429</v>
      </c>
      <c r="AF10" s="91">
        <v>52</v>
      </c>
      <c r="AG10" s="64">
        <f t="shared" si="0"/>
        <v>322649.73</v>
      </c>
    </row>
    <row r="11" spans="1:33" x14ac:dyDescent="0.25">
      <c r="A11" s="2" t="s">
        <v>69</v>
      </c>
      <c r="B11" s="91">
        <v>377</v>
      </c>
      <c r="C11" s="91">
        <v>947</v>
      </c>
      <c r="D11" s="91">
        <v>2056</v>
      </c>
      <c r="E11" s="91">
        <v>2659</v>
      </c>
      <c r="F11" s="91">
        <v>2284</v>
      </c>
      <c r="G11" s="91">
        <v>1267</v>
      </c>
      <c r="H11" s="91">
        <v>235.76</v>
      </c>
      <c r="I11" s="91">
        <v>98</v>
      </c>
      <c r="J11" s="91">
        <v>1044.95</v>
      </c>
      <c r="K11" s="91">
        <v>1239</v>
      </c>
      <c r="L11" s="91">
        <v>4156</v>
      </c>
      <c r="M11" s="91">
        <v>2873</v>
      </c>
      <c r="N11" s="91">
        <v>2412</v>
      </c>
      <c r="O11" s="91">
        <v>578</v>
      </c>
      <c r="P11" s="91">
        <v>706</v>
      </c>
      <c r="Q11" s="91">
        <v>518</v>
      </c>
      <c r="R11" s="91">
        <v>596.63</v>
      </c>
      <c r="S11" s="91">
        <f>119+569</f>
        <v>688</v>
      </c>
      <c r="T11" s="91">
        <v>4797</v>
      </c>
      <c r="U11" s="91"/>
      <c r="V11" s="91">
        <v>108</v>
      </c>
      <c r="W11" s="91">
        <v>738</v>
      </c>
      <c r="X11" s="91">
        <f>678+329</f>
        <v>1007</v>
      </c>
      <c r="Y11" s="91">
        <v>1930</v>
      </c>
      <c r="Z11" s="91">
        <v>222</v>
      </c>
      <c r="AA11" s="91">
        <v>2727</v>
      </c>
      <c r="AB11" s="91">
        <v>3518</v>
      </c>
      <c r="AC11" s="91">
        <v>795053</v>
      </c>
      <c r="AD11" s="46">
        <v>3473</v>
      </c>
      <c r="AE11" s="46">
        <v>12890</v>
      </c>
      <c r="AF11" s="91">
        <v>1196</v>
      </c>
      <c r="AG11" s="64">
        <f t="shared" si="0"/>
        <v>852394.34</v>
      </c>
    </row>
    <row r="12" spans="1:33" x14ac:dyDescent="0.25">
      <c r="A12" s="2" t="s">
        <v>70</v>
      </c>
      <c r="B12" s="91"/>
      <c r="C12" s="91">
        <v>279</v>
      </c>
      <c r="D12" s="91">
        <v>133</v>
      </c>
      <c r="E12" s="91">
        <v>767</v>
      </c>
      <c r="F12" s="91"/>
      <c r="G12" s="91">
        <v>373</v>
      </c>
      <c r="H12" s="91">
        <v>763</v>
      </c>
      <c r="I12" s="91"/>
      <c r="J12" s="91"/>
      <c r="K12" s="91"/>
      <c r="L12" s="91">
        <v>1187</v>
      </c>
      <c r="M12" s="91">
        <v>566</v>
      </c>
      <c r="N12" s="91">
        <v>129</v>
      </c>
      <c r="O12" s="91">
        <v>111</v>
      </c>
      <c r="P12" s="91">
        <v>18</v>
      </c>
      <c r="Q12" s="91">
        <v>18</v>
      </c>
      <c r="R12" s="91"/>
      <c r="S12" s="91"/>
      <c r="T12" s="91">
        <v>3570</v>
      </c>
      <c r="U12" s="91"/>
      <c r="V12" s="91">
        <v>45</v>
      </c>
      <c r="W12" s="91">
        <v>35</v>
      </c>
      <c r="X12" s="91">
        <v>12</v>
      </c>
      <c r="Y12" s="91"/>
      <c r="Z12" s="91">
        <v>1</v>
      </c>
      <c r="AA12" s="91">
        <v>214</v>
      </c>
      <c r="AB12" s="91">
        <v>170</v>
      </c>
      <c r="AC12" s="91">
        <v>978341</v>
      </c>
      <c r="AD12" s="46">
        <v>3091</v>
      </c>
      <c r="AE12" s="46">
        <v>2469</v>
      </c>
      <c r="AF12" s="91">
        <v>45</v>
      </c>
      <c r="AG12" s="64">
        <f t="shared" si="0"/>
        <v>992337</v>
      </c>
    </row>
    <row r="13" spans="1:33" x14ac:dyDescent="0.25">
      <c r="A13" s="2" t="s">
        <v>71</v>
      </c>
      <c r="B13" s="91">
        <v>3</v>
      </c>
      <c r="C13" s="91">
        <v>140</v>
      </c>
      <c r="D13" s="91">
        <v>44</v>
      </c>
      <c r="E13" s="91">
        <v>421</v>
      </c>
      <c r="F13" s="91">
        <v>310</v>
      </c>
      <c r="G13" s="91">
        <v>45</v>
      </c>
      <c r="H13" s="91">
        <v>126.79</v>
      </c>
      <c r="I13" s="91">
        <v>8</v>
      </c>
      <c r="J13" s="91">
        <v>228.19</v>
      </c>
      <c r="K13" s="91">
        <v>607</v>
      </c>
      <c r="L13" s="91">
        <v>805</v>
      </c>
      <c r="M13" s="91">
        <v>4190</v>
      </c>
      <c r="N13" s="91">
        <v>1356</v>
      </c>
      <c r="O13" s="91">
        <v>10</v>
      </c>
      <c r="P13" s="91">
        <v>99</v>
      </c>
      <c r="Q13" s="91">
        <v>3</v>
      </c>
      <c r="R13" s="91">
        <v>48.08</v>
      </c>
      <c r="S13" s="91">
        <v>569</v>
      </c>
      <c r="T13" s="91">
        <v>148</v>
      </c>
      <c r="U13" s="91">
        <v>17</v>
      </c>
      <c r="V13" s="91">
        <v>7</v>
      </c>
      <c r="W13" s="91">
        <v>505</v>
      </c>
      <c r="X13" s="91">
        <v>113</v>
      </c>
      <c r="Y13" s="91">
        <v>952</v>
      </c>
      <c r="Z13" s="91">
        <v>141</v>
      </c>
      <c r="AA13" s="91">
        <v>1043</v>
      </c>
      <c r="AB13" s="91">
        <v>175</v>
      </c>
      <c r="AC13" s="91">
        <v>15345</v>
      </c>
      <c r="AD13" s="46">
        <v>111</v>
      </c>
      <c r="AE13" s="46">
        <v>175</v>
      </c>
      <c r="AF13" s="91">
        <v>61</v>
      </c>
      <c r="AG13" s="64">
        <f t="shared" si="0"/>
        <v>27806.059999999998</v>
      </c>
    </row>
    <row r="14" spans="1:33" x14ac:dyDescent="0.25">
      <c r="A14" s="2" t="s">
        <v>72</v>
      </c>
      <c r="B14" s="91"/>
      <c r="C14" s="91"/>
      <c r="D14" s="91">
        <v>42</v>
      </c>
      <c r="E14" s="91"/>
      <c r="F14" s="91"/>
      <c r="G14" s="91"/>
      <c r="H14" s="91"/>
      <c r="I14" s="91"/>
      <c r="J14" s="91"/>
      <c r="K14" s="91">
        <v>685</v>
      </c>
      <c r="L14" s="91"/>
      <c r="M14" s="91"/>
      <c r="N14" s="91"/>
      <c r="O14" s="91"/>
      <c r="P14" s="91"/>
      <c r="Q14" s="91">
        <v>25</v>
      </c>
      <c r="R14" s="91"/>
      <c r="S14" s="91"/>
      <c r="T14" s="91">
        <v>861</v>
      </c>
      <c r="U14" s="91"/>
      <c r="V14" s="91"/>
      <c r="W14" s="91"/>
      <c r="X14" s="91"/>
      <c r="Y14" s="91"/>
      <c r="Z14" s="91"/>
      <c r="AA14" s="91"/>
      <c r="AB14" s="91"/>
      <c r="AC14" s="91"/>
      <c r="AD14" s="46"/>
      <c r="AE14" s="46"/>
      <c r="AF14" s="91"/>
      <c r="AG14" s="64">
        <f t="shared" si="0"/>
        <v>1613</v>
      </c>
    </row>
    <row r="15" spans="1:33" x14ac:dyDescent="0.25">
      <c r="A15" s="2" t="s">
        <v>73</v>
      </c>
      <c r="B15" s="91">
        <f>B16-B14-B13-B12-B11-B10-B9-B8-B7-B6-B5-B4</f>
        <v>0</v>
      </c>
      <c r="C15" s="91">
        <f t="shared" ref="C15:AB15" si="1">C16-C14-C13-C12-C11-C10-C9-C8-C7-C6-C5-C4</f>
        <v>834</v>
      </c>
      <c r="D15" s="91">
        <f t="shared" si="1"/>
        <v>1</v>
      </c>
      <c r="E15" s="91">
        <f t="shared" si="1"/>
        <v>0</v>
      </c>
      <c r="F15" s="91">
        <f t="shared" si="1"/>
        <v>0</v>
      </c>
      <c r="G15" s="91">
        <f>G16-G14-G13-G12-G11-G10-G9-G8-G7-G6-G5-G4</f>
        <v>297</v>
      </c>
      <c r="H15" s="91">
        <f t="shared" si="1"/>
        <v>-2.3021584638627246E-12</v>
      </c>
      <c r="I15" s="91">
        <f t="shared" si="1"/>
        <v>0</v>
      </c>
      <c r="J15" s="91">
        <f t="shared" si="1"/>
        <v>-1.1368683772161603E-13</v>
      </c>
      <c r="K15" s="91">
        <f t="shared" si="1"/>
        <v>0</v>
      </c>
      <c r="L15" s="91">
        <f t="shared" si="1"/>
        <v>0</v>
      </c>
      <c r="M15" s="91">
        <f t="shared" si="1"/>
        <v>0</v>
      </c>
      <c r="N15" s="91">
        <f t="shared" si="1"/>
        <v>0</v>
      </c>
      <c r="O15" s="91">
        <f t="shared" si="1"/>
        <v>0.76999999999998181</v>
      </c>
      <c r="P15" s="91">
        <f t="shared" si="1"/>
        <v>0</v>
      </c>
      <c r="Q15" s="91">
        <f t="shared" si="1"/>
        <v>0</v>
      </c>
      <c r="R15" s="91">
        <f t="shared" si="1"/>
        <v>0</v>
      </c>
      <c r="S15" s="91">
        <f t="shared" si="1"/>
        <v>0</v>
      </c>
      <c r="T15" s="91">
        <f t="shared" si="1"/>
        <v>15</v>
      </c>
      <c r="U15" s="91">
        <f t="shared" si="1"/>
        <v>0</v>
      </c>
      <c r="V15" s="91">
        <f t="shared" si="1"/>
        <v>0</v>
      </c>
      <c r="W15" s="91">
        <f t="shared" si="1"/>
        <v>1</v>
      </c>
      <c r="X15" s="91">
        <f t="shared" si="1"/>
        <v>1</v>
      </c>
      <c r="Y15" s="91">
        <f t="shared" si="1"/>
        <v>0</v>
      </c>
      <c r="Z15" s="91">
        <f t="shared" si="1"/>
        <v>-1</v>
      </c>
      <c r="AA15" s="91">
        <f t="shared" si="1"/>
        <v>3</v>
      </c>
      <c r="AB15" s="91">
        <f t="shared" si="1"/>
        <v>0</v>
      </c>
      <c r="AC15" s="91">
        <f t="shared" ref="AC15:AF15" si="2">AC16-AC14-AC13-AC12-AC11-AC10-AC9-AC8-AC7-AC6-AC5-AC4</f>
        <v>197675</v>
      </c>
      <c r="AD15" s="46">
        <f t="shared" si="2"/>
        <v>717</v>
      </c>
      <c r="AE15" s="46">
        <f t="shared" si="2"/>
        <v>974</v>
      </c>
      <c r="AF15" s="91">
        <f t="shared" si="2"/>
        <v>0</v>
      </c>
      <c r="AG15" s="64">
        <f t="shared" si="0"/>
        <v>200517.77</v>
      </c>
    </row>
    <row r="16" spans="1:33" s="7" customFormat="1" x14ac:dyDescent="0.25">
      <c r="A16" s="3" t="s">
        <v>40</v>
      </c>
      <c r="B16" s="10">
        <v>385</v>
      </c>
      <c r="C16" s="10">
        <v>11257</v>
      </c>
      <c r="D16" s="10">
        <v>17848</v>
      </c>
      <c r="E16" s="10">
        <v>40394</v>
      </c>
      <c r="F16" s="10">
        <v>5311</v>
      </c>
      <c r="G16" s="10">
        <v>8170</v>
      </c>
      <c r="H16" s="10">
        <v>17287.64</v>
      </c>
      <c r="I16" s="10">
        <v>1335</v>
      </c>
      <c r="J16" s="10">
        <v>2692.15</v>
      </c>
      <c r="K16" s="10">
        <v>12475</v>
      </c>
      <c r="L16" s="10">
        <v>28345</v>
      </c>
      <c r="M16" s="10">
        <v>56642</v>
      </c>
      <c r="N16" s="10">
        <v>11339</v>
      </c>
      <c r="O16" s="10">
        <v>1011</v>
      </c>
      <c r="P16" s="10">
        <v>3407</v>
      </c>
      <c r="Q16" s="10">
        <v>2384</v>
      </c>
      <c r="R16" s="10">
        <v>1861.55</v>
      </c>
      <c r="S16" s="10">
        <v>4916</v>
      </c>
      <c r="T16" s="10">
        <v>24272</v>
      </c>
      <c r="U16" s="10">
        <v>38</v>
      </c>
      <c r="V16" s="10">
        <v>682</v>
      </c>
      <c r="W16" s="10">
        <v>8501</v>
      </c>
      <c r="X16" s="10">
        <v>2716</v>
      </c>
      <c r="Y16" s="10">
        <v>22301</v>
      </c>
      <c r="Z16" s="10">
        <v>4357</v>
      </c>
      <c r="AA16" s="10">
        <v>11313</v>
      </c>
      <c r="AB16" s="10">
        <v>26620</v>
      </c>
      <c r="AC16" s="10">
        <v>4213269</v>
      </c>
      <c r="AD16" s="48">
        <v>49611</v>
      </c>
      <c r="AE16" s="48">
        <v>28326</v>
      </c>
      <c r="AF16" s="10">
        <v>1758</v>
      </c>
      <c r="AG16" s="63">
        <f t="shared" si="0"/>
        <v>4620824.34</v>
      </c>
    </row>
    <row r="17" spans="1:33" x14ac:dyDescent="0.25">
      <c r="A17" s="2" t="s">
        <v>74</v>
      </c>
      <c r="B17" s="91"/>
      <c r="C17" s="74">
        <v>229</v>
      </c>
      <c r="D17" s="74"/>
      <c r="E17" s="91">
        <v>2021</v>
      </c>
      <c r="F17" s="91">
        <v>197</v>
      </c>
      <c r="G17" s="91">
        <v>310</v>
      </c>
      <c r="H17" s="91">
        <v>15365.56</v>
      </c>
      <c r="I17" s="91">
        <v>424</v>
      </c>
      <c r="J17" s="91">
        <v>2250.66</v>
      </c>
      <c r="K17" s="91">
        <v>2377</v>
      </c>
      <c r="L17" s="91">
        <v>1585</v>
      </c>
      <c r="M17" s="91">
        <v>1106</v>
      </c>
      <c r="N17" s="91">
        <v>3985</v>
      </c>
      <c r="O17" s="91">
        <v>4</v>
      </c>
      <c r="P17" s="91">
        <v>420</v>
      </c>
      <c r="Q17" s="91">
        <v>371</v>
      </c>
      <c r="R17" s="91">
        <v>502.4</v>
      </c>
      <c r="S17" s="91">
        <v>51</v>
      </c>
      <c r="T17" s="91">
        <v>30683</v>
      </c>
      <c r="U17" s="91"/>
      <c r="V17" s="91">
        <v>150</v>
      </c>
      <c r="W17" s="91">
        <v>836</v>
      </c>
      <c r="X17" s="91">
        <v>86</v>
      </c>
      <c r="Y17" s="91">
        <v>288</v>
      </c>
      <c r="Z17" s="91"/>
      <c r="AA17" s="91">
        <v>400</v>
      </c>
      <c r="AB17" s="91">
        <v>1696</v>
      </c>
      <c r="AC17" s="91">
        <v>173772</v>
      </c>
      <c r="AD17" s="46">
        <v>3072</v>
      </c>
      <c r="AE17" s="46">
        <v>16663</v>
      </c>
      <c r="AF17" s="91">
        <v>843</v>
      </c>
      <c r="AG17" s="64">
        <f t="shared" si="0"/>
        <v>259687.62</v>
      </c>
    </row>
    <row r="18" spans="1:33" ht="30" x14ac:dyDescent="0.25">
      <c r="A18" s="2" t="s">
        <v>75</v>
      </c>
      <c r="B18" s="91"/>
      <c r="C18" s="74">
        <v>210</v>
      </c>
      <c r="D18" s="74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46"/>
      <c r="AE18" s="46"/>
      <c r="AF18" s="91"/>
      <c r="AG18" s="64">
        <f t="shared" si="0"/>
        <v>210</v>
      </c>
    </row>
    <row r="19" spans="1:33" s="7" customFormat="1" x14ac:dyDescent="0.25">
      <c r="A19" s="3" t="s">
        <v>76</v>
      </c>
      <c r="B19" s="10">
        <f>B16+B17+B18</f>
        <v>385</v>
      </c>
      <c r="C19" s="75">
        <f t="shared" ref="C19:AB19" si="3">C16+C17+C18</f>
        <v>11696</v>
      </c>
      <c r="D19" s="75">
        <f t="shared" si="3"/>
        <v>17848</v>
      </c>
      <c r="E19" s="10">
        <f t="shared" si="3"/>
        <v>42415</v>
      </c>
      <c r="F19" s="10">
        <f t="shared" si="3"/>
        <v>5508</v>
      </c>
      <c r="G19" s="10">
        <f t="shared" si="3"/>
        <v>8480</v>
      </c>
      <c r="H19" s="10">
        <f t="shared" si="3"/>
        <v>32653.199999999997</v>
      </c>
      <c r="I19" s="10">
        <f t="shared" si="3"/>
        <v>1759</v>
      </c>
      <c r="J19" s="10">
        <f t="shared" si="3"/>
        <v>4942.8099999999995</v>
      </c>
      <c r="K19" s="10">
        <f t="shared" si="3"/>
        <v>14852</v>
      </c>
      <c r="L19" s="10">
        <f t="shared" si="3"/>
        <v>29930</v>
      </c>
      <c r="M19" s="10">
        <f t="shared" si="3"/>
        <v>57748</v>
      </c>
      <c r="N19" s="10">
        <f t="shared" si="3"/>
        <v>15324</v>
      </c>
      <c r="O19" s="10">
        <f t="shared" si="3"/>
        <v>1015</v>
      </c>
      <c r="P19" s="10">
        <f t="shared" si="3"/>
        <v>3827</v>
      </c>
      <c r="Q19" s="10">
        <f t="shared" si="3"/>
        <v>2755</v>
      </c>
      <c r="R19" s="10">
        <f t="shared" si="3"/>
        <v>2363.9499999999998</v>
      </c>
      <c r="S19" s="10">
        <f t="shared" si="3"/>
        <v>4967</v>
      </c>
      <c r="T19" s="10">
        <f t="shared" si="3"/>
        <v>54955</v>
      </c>
      <c r="U19" s="10">
        <f t="shared" si="3"/>
        <v>38</v>
      </c>
      <c r="V19" s="10">
        <f t="shared" si="3"/>
        <v>832</v>
      </c>
      <c r="W19" s="10">
        <f t="shared" si="3"/>
        <v>9337</v>
      </c>
      <c r="X19" s="10">
        <f t="shared" si="3"/>
        <v>2802</v>
      </c>
      <c r="Y19" s="10">
        <f t="shared" si="3"/>
        <v>22589</v>
      </c>
      <c r="Z19" s="10">
        <f t="shared" si="3"/>
        <v>4357</v>
      </c>
      <c r="AA19" s="10">
        <f t="shared" si="3"/>
        <v>11713</v>
      </c>
      <c r="AB19" s="10">
        <f t="shared" si="3"/>
        <v>28316</v>
      </c>
      <c r="AC19" s="10">
        <f t="shared" ref="AC19:AF19" si="4">AC16+AC17+AC18</f>
        <v>4387041</v>
      </c>
      <c r="AD19" s="48">
        <f t="shared" si="4"/>
        <v>52683</v>
      </c>
      <c r="AE19" s="48">
        <f t="shared" si="4"/>
        <v>44989</v>
      </c>
      <c r="AF19" s="10">
        <f t="shared" si="4"/>
        <v>2601</v>
      </c>
      <c r="AG19" s="63">
        <f t="shared" si="0"/>
        <v>4880721.96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71" customWidth="1"/>
    <col min="2" max="3" width="16" style="71" customWidth="1"/>
    <col min="4" max="4" width="16" style="43" customWidth="1"/>
    <col min="5" max="32" width="16" style="71" customWidth="1"/>
    <col min="33" max="33" width="16" style="50" customWidth="1"/>
    <col min="34" max="16384" width="9.140625" style="71"/>
  </cols>
  <sheetData>
    <row r="1" spans="1:33" ht="18.75" x14ac:dyDescent="0.3">
      <c r="A1" s="12" t="s">
        <v>305</v>
      </c>
    </row>
    <row r="2" spans="1:33" x14ac:dyDescent="0.25">
      <c r="A2" s="5" t="s">
        <v>98</v>
      </c>
    </row>
    <row r="3" spans="1:33" x14ac:dyDescent="0.25">
      <c r="A3" s="1" t="s">
        <v>0</v>
      </c>
      <c r="B3" s="144" t="s">
        <v>1</v>
      </c>
      <c r="C3" s="144" t="s">
        <v>234</v>
      </c>
      <c r="D3" s="144" t="s">
        <v>2</v>
      </c>
      <c r="E3" s="144" t="s">
        <v>3</v>
      </c>
      <c r="F3" s="144" t="s">
        <v>243</v>
      </c>
      <c r="G3" s="144" t="s">
        <v>235</v>
      </c>
      <c r="H3" s="144" t="s">
        <v>5</v>
      </c>
      <c r="I3" s="144" t="s">
        <v>4</v>
      </c>
      <c r="J3" s="144" t="s">
        <v>6</v>
      </c>
      <c r="K3" s="144" t="s">
        <v>246</v>
      </c>
      <c r="L3" s="144" t="s">
        <v>7</v>
      </c>
      <c r="M3" s="144" t="s">
        <v>8</v>
      </c>
      <c r="N3" s="144" t="s">
        <v>9</v>
      </c>
      <c r="O3" s="144" t="s">
        <v>242</v>
      </c>
      <c r="P3" s="144" t="s">
        <v>10</v>
      </c>
      <c r="Q3" s="144" t="s">
        <v>11</v>
      </c>
      <c r="R3" s="144" t="s">
        <v>236</v>
      </c>
      <c r="S3" s="144" t="s">
        <v>245</v>
      </c>
      <c r="T3" s="144" t="s">
        <v>12</v>
      </c>
      <c r="U3" s="144" t="s">
        <v>237</v>
      </c>
      <c r="V3" s="144" t="s">
        <v>238</v>
      </c>
      <c r="W3" s="144" t="s">
        <v>241</v>
      </c>
      <c r="X3" s="144" t="s">
        <v>13</v>
      </c>
      <c r="Y3" s="144" t="s">
        <v>14</v>
      </c>
      <c r="Z3" s="144" t="s">
        <v>15</v>
      </c>
      <c r="AA3" s="144" t="s">
        <v>16</v>
      </c>
      <c r="AB3" s="144" t="s">
        <v>17</v>
      </c>
      <c r="AC3" s="143" t="s">
        <v>239</v>
      </c>
      <c r="AD3" s="143" t="s">
        <v>240</v>
      </c>
      <c r="AE3" s="143" t="s">
        <v>18</v>
      </c>
      <c r="AF3" s="144" t="s">
        <v>19</v>
      </c>
      <c r="AG3" s="142" t="s">
        <v>20</v>
      </c>
    </row>
    <row r="4" spans="1:33" ht="15" customHeight="1" x14ac:dyDescent="0.25">
      <c r="A4" s="2" t="s">
        <v>77</v>
      </c>
      <c r="B4" s="91">
        <v>9</v>
      </c>
      <c r="C4" s="91">
        <v>70</v>
      </c>
      <c r="D4" s="46">
        <v>0.16</v>
      </c>
      <c r="E4" s="46">
        <v>4642</v>
      </c>
      <c r="F4" s="91">
        <v>439</v>
      </c>
      <c r="G4" s="91">
        <v>532</v>
      </c>
      <c r="H4" s="91">
        <v>50.22</v>
      </c>
      <c r="I4" s="91">
        <v>16</v>
      </c>
      <c r="J4" s="91">
        <v>366.49</v>
      </c>
      <c r="K4" s="91">
        <v>3112</v>
      </c>
      <c r="L4" s="91">
        <v>1718</v>
      </c>
      <c r="M4" s="91">
        <v>921</v>
      </c>
      <c r="N4" s="91">
        <v>115</v>
      </c>
      <c r="O4" s="91">
        <v>469</v>
      </c>
      <c r="P4" s="91">
        <v>250</v>
      </c>
      <c r="Q4" s="91">
        <v>37</v>
      </c>
      <c r="R4" s="91">
        <v>189.77</v>
      </c>
      <c r="S4" s="91">
        <v>137</v>
      </c>
      <c r="T4" s="91">
        <v>784.74</v>
      </c>
      <c r="U4" s="91">
        <v>26</v>
      </c>
      <c r="V4" s="91">
        <v>2</v>
      </c>
      <c r="W4" s="91">
        <v>84</v>
      </c>
      <c r="X4" s="91">
        <v>650</v>
      </c>
      <c r="Y4" s="91">
        <v>960</v>
      </c>
      <c r="Z4" s="91">
        <v>233</v>
      </c>
      <c r="AA4" s="91">
        <v>10380</v>
      </c>
      <c r="AB4" s="91">
        <v>1334</v>
      </c>
      <c r="AC4" s="91">
        <v>15713</v>
      </c>
      <c r="AD4" s="91">
        <v>4444</v>
      </c>
      <c r="AE4" s="91">
        <v>6225</v>
      </c>
      <c r="AF4" s="91">
        <v>87</v>
      </c>
      <c r="AG4" s="64">
        <f t="shared" ref="AG4:AG16" si="0">SUM(B4:AF4)</f>
        <v>53996.38</v>
      </c>
    </row>
    <row r="5" spans="1:33" x14ac:dyDescent="0.25">
      <c r="A5" s="2" t="s">
        <v>78</v>
      </c>
      <c r="B5" s="91"/>
      <c r="C5" s="91"/>
      <c r="D5" s="46"/>
      <c r="E5" s="46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64">
        <f t="shared" si="0"/>
        <v>0</v>
      </c>
    </row>
    <row r="6" spans="1:33" x14ac:dyDescent="0.25">
      <c r="A6" s="2" t="s">
        <v>79</v>
      </c>
      <c r="B6" s="91"/>
      <c r="C6" s="91"/>
      <c r="D6" s="46"/>
      <c r="E6" s="46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64">
        <f t="shared" si="0"/>
        <v>0</v>
      </c>
    </row>
    <row r="7" spans="1:33" ht="15" customHeight="1" x14ac:dyDescent="0.25">
      <c r="A7" s="2" t="s">
        <v>80</v>
      </c>
      <c r="B7" s="91"/>
      <c r="C7" s="91">
        <v>7</v>
      </c>
      <c r="D7" s="30">
        <v>675350</v>
      </c>
      <c r="E7" s="30">
        <v>14781</v>
      </c>
      <c r="F7" s="91">
        <v>76</v>
      </c>
      <c r="G7" s="91"/>
      <c r="H7" s="91">
        <v>196807</v>
      </c>
      <c r="I7" s="91"/>
      <c r="J7" s="91"/>
      <c r="K7" s="91"/>
      <c r="L7" s="91">
        <v>464</v>
      </c>
      <c r="M7" s="91">
        <v>595</v>
      </c>
      <c r="N7" s="91"/>
      <c r="O7" s="91"/>
      <c r="P7" s="91">
        <v>100</v>
      </c>
      <c r="Q7" s="91"/>
      <c r="R7" s="91">
        <v>7548</v>
      </c>
      <c r="S7" s="91">
        <v>1830</v>
      </c>
      <c r="T7" s="91">
        <v>15625.68</v>
      </c>
      <c r="U7" s="91">
        <v>10</v>
      </c>
      <c r="V7" s="91"/>
      <c r="W7" s="91">
        <v>344</v>
      </c>
      <c r="X7" s="91"/>
      <c r="Y7" s="91"/>
      <c r="Z7" s="91"/>
      <c r="AA7" s="91"/>
      <c r="AB7" s="91">
        <v>11</v>
      </c>
      <c r="AC7" s="91">
        <v>105446</v>
      </c>
      <c r="AD7" s="91">
        <v>154811</v>
      </c>
      <c r="AE7" s="91">
        <v>167451</v>
      </c>
      <c r="AF7" s="91"/>
      <c r="AG7" s="64">
        <f t="shared" si="0"/>
        <v>1341256.6800000002</v>
      </c>
    </row>
    <row r="8" spans="1:33" x14ac:dyDescent="0.25">
      <c r="A8" s="2" t="s">
        <v>81</v>
      </c>
      <c r="B8" s="91"/>
      <c r="C8" s="91">
        <v>32</v>
      </c>
      <c r="D8" s="46"/>
      <c r="E8" s="46"/>
      <c r="F8" s="91">
        <v>48</v>
      </c>
      <c r="G8" s="91"/>
      <c r="H8" s="91">
        <v>199</v>
      </c>
      <c r="I8" s="91"/>
      <c r="J8" s="91">
        <v>28.37</v>
      </c>
      <c r="K8" s="91"/>
      <c r="L8" s="91">
        <v>113</v>
      </c>
      <c r="M8" s="91"/>
      <c r="N8" s="91"/>
      <c r="O8" s="91"/>
      <c r="P8" s="91"/>
      <c r="Q8" s="91"/>
      <c r="R8" s="91">
        <v>25</v>
      </c>
      <c r="S8" s="91"/>
      <c r="T8" s="91"/>
      <c r="U8" s="91"/>
      <c r="V8" s="91"/>
      <c r="W8" s="91"/>
      <c r="X8" s="91"/>
      <c r="Y8" s="91">
        <v>30</v>
      </c>
      <c r="Z8" s="91"/>
      <c r="AA8" s="91">
        <v>18586</v>
      </c>
      <c r="AB8" s="91">
        <v>232</v>
      </c>
      <c r="AC8" s="91">
        <v>650114</v>
      </c>
      <c r="AD8" s="91"/>
      <c r="AE8" s="91"/>
      <c r="AF8" s="91"/>
      <c r="AG8" s="64">
        <f t="shared" si="0"/>
        <v>669407.37</v>
      </c>
    </row>
    <row r="9" spans="1:33" x14ac:dyDescent="0.25">
      <c r="A9" s="2" t="s">
        <v>82</v>
      </c>
      <c r="B9" s="91">
        <v>2660</v>
      </c>
      <c r="C9" s="91">
        <v>5224</v>
      </c>
      <c r="D9" s="30">
        <v>20430</v>
      </c>
      <c r="E9" s="30">
        <v>28093</v>
      </c>
      <c r="F9" s="91">
        <v>7306</v>
      </c>
      <c r="G9" s="91">
        <v>3038</v>
      </c>
      <c r="H9" s="91">
        <v>978.29</v>
      </c>
      <c r="I9" s="91">
        <v>362</v>
      </c>
      <c r="J9" s="91">
        <v>6885.99</v>
      </c>
      <c r="K9" s="91">
        <v>11540</v>
      </c>
      <c r="L9" s="91">
        <v>11134</v>
      </c>
      <c r="M9" s="91">
        <v>27748</v>
      </c>
      <c r="N9" s="91">
        <v>27660</v>
      </c>
      <c r="O9" s="91">
        <v>1119</v>
      </c>
      <c r="P9" s="91">
        <v>189</v>
      </c>
      <c r="Q9" s="91">
        <v>2530</v>
      </c>
      <c r="R9" s="91">
        <v>3227.64</v>
      </c>
      <c r="S9" s="91">
        <v>3914</v>
      </c>
      <c r="T9" s="91">
        <v>52403.8</v>
      </c>
      <c r="U9" s="91">
        <v>530</v>
      </c>
      <c r="V9" s="91">
        <v>947</v>
      </c>
      <c r="W9" s="91">
        <v>12289</v>
      </c>
      <c r="X9" s="91">
        <v>4524</v>
      </c>
      <c r="Y9" s="91">
        <v>14768</v>
      </c>
      <c r="Z9" s="91">
        <v>2226</v>
      </c>
      <c r="AA9" s="91">
        <v>27388</v>
      </c>
      <c r="AB9" s="91">
        <v>52879</v>
      </c>
      <c r="AC9" s="91">
        <v>222119</v>
      </c>
      <c r="AD9" s="91">
        <v>76735</v>
      </c>
      <c r="AE9" s="91">
        <v>64141</v>
      </c>
      <c r="AF9" s="91">
        <v>9699</v>
      </c>
      <c r="AG9" s="64">
        <f t="shared" si="0"/>
        <v>704687.72</v>
      </c>
    </row>
    <row r="10" spans="1:33" x14ac:dyDescent="0.25">
      <c r="A10" s="2" t="s">
        <v>83</v>
      </c>
      <c r="B10" s="91"/>
      <c r="C10" s="91"/>
      <c r="D10" s="46"/>
      <c r="E10" s="46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>
        <v>2800</v>
      </c>
      <c r="X10" s="91"/>
      <c r="Y10" s="91"/>
      <c r="Z10" s="91"/>
      <c r="AA10" s="91"/>
      <c r="AB10" s="91"/>
      <c r="AC10" s="91"/>
      <c r="AD10" s="91"/>
      <c r="AE10" s="91"/>
      <c r="AF10" s="91"/>
      <c r="AG10" s="64">
        <f t="shared" si="0"/>
        <v>2800</v>
      </c>
    </row>
    <row r="11" spans="1:33" x14ac:dyDescent="0.25">
      <c r="A11" s="2" t="s">
        <v>84</v>
      </c>
      <c r="B11" s="91"/>
      <c r="C11" s="91"/>
      <c r="D11" s="46"/>
      <c r="E11" s="46"/>
      <c r="F11" s="91"/>
      <c r="G11" s="91"/>
      <c r="H11" s="91">
        <v>1</v>
      </c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>
        <v>625</v>
      </c>
      <c r="AA11" s="91"/>
      <c r="AB11" s="91"/>
      <c r="AC11" s="91"/>
      <c r="AD11" s="91"/>
      <c r="AE11" s="91"/>
      <c r="AF11" s="91"/>
      <c r="AG11" s="64">
        <f t="shared" si="0"/>
        <v>626</v>
      </c>
    </row>
    <row r="12" spans="1:33" x14ac:dyDescent="0.25">
      <c r="A12" s="2" t="s">
        <v>85</v>
      </c>
      <c r="B12" s="91"/>
      <c r="C12" s="91"/>
      <c r="D12" s="46"/>
      <c r="E12" s="46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64">
        <f t="shared" si="0"/>
        <v>0</v>
      </c>
    </row>
    <row r="13" spans="1:33" x14ac:dyDescent="0.25">
      <c r="A13" s="2" t="s">
        <v>86</v>
      </c>
      <c r="B13" s="91"/>
      <c r="C13" s="91"/>
      <c r="D13" s="46"/>
      <c r="E13" s="46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64">
        <f t="shared" si="0"/>
        <v>0</v>
      </c>
    </row>
    <row r="14" spans="1:33" x14ac:dyDescent="0.25">
      <c r="A14" s="2" t="s">
        <v>87</v>
      </c>
      <c r="B14" s="91"/>
      <c r="C14" s="91"/>
      <c r="D14" s="46"/>
      <c r="E14" s="46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>
        <v>255392</v>
      </c>
      <c r="AD14" s="91"/>
      <c r="AE14" s="91">
        <v>28988</v>
      </c>
      <c r="AF14" s="91"/>
      <c r="AG14" s="64">
        <f t="shared" si="0"/>
        <v>284380</v>
      </c>
    </row>
    <row r="15" spans="1:33" x14ac:dyDescent="0.25">
      <c r="A15" s="2" t="s">
        <v>31</v>
      </c>
      <c r="B15" s="91">
        <f>B16-B14-B13-B12-B11-B10-B9-B8-B7-B6-B5-B4</f>
        <v>791</v>
      </c>
      <c r="C15" s="91">
        <f t="shared" ref="C15:AB15" si="1">C16-C14-C13-C12-C11-C10-C9-C8-C7-C6-C5-C4</f>
        <v>8</v>
      </c>
      <c r="D15" s="46">
        <f t="shared" si="1"/>
        <v>-0.16</v>
      </c>
      <c r="E15" s="46">
        <f t="shared" si="1"/>
        <v>0</v>
      </c>
      <c r="F15" s="91">
        <f t="shared" si="1"/>
        <v>0</v>
      </c>
      <c r="G15" s="91">
        <f t="shared" si="1"/>
        <v>18</v>
      </c>
      <c r="H15" s="91">
        <f t="shared" si="1"/>
        <v>1.1652900866465643E-12</v>
      </c>
      <c r="I15" s="91">
        <f t="shared" si="1"/>
        <v>0</v>
      </c>
      <c r="J15" s="91">
        <f t="shared" si="1"/>
        <v>5.6843418860808015E-13</v>
      </c>
      <c r="K15" s="91">
        <f>K16-K14-K13-K12-K11-K10-K9-K8-K7-K6-K5-K4</f>
        <v>0</v>
      </c>
      <c r="L15" s="91">
        <f t="shared" si="1"/>
        <v>0</v>
      </c>
      <c r="M15" s="91">
        <f t="shared" si="1"/>
        <v>0</v>
      </c>
      <c r="N15" s="91">
        <f t="shared" si="1"/>
        <v>0</v>
      </c>
      <c r="O15" s="91">
        <f t="shared" si="1"/>
        <v>0</v>
      </c>
      <c r="P15" s="91">
        <f t="shared" si="1"/>
        <v>0</v>
      </c>
      <c r="Q15" s="91">
        <f t="shared" si="1"/>
        <v>0</v>
      </c>
      <c r="R15" s="91">
        <f t="shared" si="1"/>
        <v>4.2632564145606011E-13</v>
      </c>
      <c r="S15" s="91">
        <f t="shared" si="1"/>
        <v>0</v>
      </c>
      <c r="T15" s="91">
        <f t="shared" si="1"/>
        <v>-2.0463630789890885E-12</v>
      </c>
      <c r="U15" s="91">
        <f t="shared" si="1"/>
        <v>-1</v>
      </c>
      <c r="V15" s="91">
        <f t="shared" si="1"/>
        <v>0</v>
      </c>
      <c r="W15" s="91">
        <f t="shared" si="1"/>
        <v>0</v>
      </c>
      <c r="X15" s="91">
        <f t="shared" si="1"/>
        <v>0</v>
      </c>
      <c r="Y15" s="91">
        <f t="shared" si="1"/>
        <v>0</v>
      </c>
      <c r="Z15" s="91">
        <f t="shared" si="1"/>
        <v>0</v>
      </c>
      <c r="AA15" s="91">
        <f t="shared" si="1"/>
        <v>0</v>
      </c>
      <c r="AB15" s="91">
        <f t="shared" si="1"/>
        <v>0</v>
      </c>
      <c r="AC15" s="91">
        <f t="shared" ref="AC15:AF15" si="2">AC16-AC14-AC13-AC12-AC11-AC10-AC9-AC8-AC7-AC6-AC5-AC4</f>
        <v>0</v>
      </c>
      <c r="AD15" s="91">
        <f t="shared" si="2"/>
        <v>0</v>
      </c>
      <c r="AE15" s="91">
        <f t="shared" si="2"/>
        <v>0</v>
      </c>
      <c r="AF15" s="91">
        <f t="shared" si="2"/>
        <v>0</v>
      </c>
      <c r="AG15" s="64">
        <f t="shared" si="0"/>
        <v>815.84000000000015</v>
      </c>
    </row>
    <row r="16" spans="1:33" s="7" customFormat="1" x14ac:dyDescent="0.25">
      <c r="A16" s="3" t="s">
        <v>40</v>
      </c>
      <c r="B16" s="10">
        <v>3460</v>
      </c>
      <c r="C16" s="10">
        <v>5341</v>
      </c>
      <c r="D16" s="10">
        <v>695780</v>
      </c>
      <c r="E16" s="10">
        <v>47516</v>
      </c>
      <c r="F16" s="10">
        <v>7869</v>
      </c>
      <c r="G16" s="10">
        <v>3588</v>
      </c>
      <c r="H16" s="10">
        <v>198035.51</v>
      </c>
      <c r="I16" s="10">
        <v>378</v>
      </c>
      <c r="J16" s="10">
        <v>7280.85</v>
      </c>
      <c r="K16" s="10">
        <v>14652</v>
      </c>
      <c r="L16" s="10">
        <v>13429</v>
      </c>
      <c r="M16" s="10">
        <v>29264</v>
      </c>
      <c r="N16" s="10">
        <v>27775</v>
      </c>
      <c r="O16" s="10">
        <v>1588</v>
      </c>
      <c r="P16" s="10">
        <v>539</v>
      </c>
      <c r="Q16" s="10">
        <v>2567</v>
      </c>
      <c r="R16" s="10">
        <v>10990.41</v>
      </c>
      <c r="S16" s="10">
        <v>5881</v>
      </c>
      <c r="T16" s="10">
        <v>68814.22</v>
      </c>
      <c r="U16" s="10">
        <v>565</v>
      </c>
      <c r="V16" s="10">
        <v>949</v>
      </c>
      <c r="W16" s="10">
        <v>15517</v>
      </c>
      <c r="X16" s="10">
        <v>5174</v>
      </c>
      <c r="Y16" s="10">
        <v>15758</v>
      </c>
      <c r="Z16" s="10">
        <v>3084</v>
      </c>
      <c r="AA16" s="10">
        <v>56354</v>
      </c>
      <c r="AB16" s="10">
        <v>54456</v>
      </c>
      <c r="AC16" s="10">
        <v>1248784</v>
      </c>
      <c r="AD16" s="10">
        <v>235990</v>
      </c>
      <c r="AE16" s="10">
        <v>266805</v>
      </c>
      <c r="AF16" s="10">
        <v>9786</v>
      </c>
      <c r="AG16" s="63">
        <f t="shared" si="0"/>
        <v>3057969.9899999998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71" customWidth="1"/>
    <col min="2" max="5" width="16" style="71" customWidth="1"/>
    <col min="6" max="6" width="18.140625" style="71" customWidth="1"/>
    <col min="7" max="17" width="16" style="71" customWidth="1"/>
    <col min="18" max="18" width="18.85546875" style="71" customWidth="1"/>
    <col min="19" max="20" width="16" style="71" customWidth="1"/>
    <col min="21" max="21" width="16" style="129" customWidth="1"/>
    <col min="22" max="32" width="16" style="71" customWidth="1"/>
    <col min="33" max="33" width="16" style="7" customWidth="1"/>
    <col min="34" max="16384" width="9.140625" style="71"/>
  </cols>
  <sheetData>
    <row r="1" spans="1:33" ht="18.75" x14ac:dyDescent="0.3">
      <c r="A1" s="12" t="s">
        <v>304</v>
      </c>
    </row>
    <row r="2" spans="1:33" x14ac:dyDescent="0.25">
      <c r="A2" s="13" t="s">
        <v>98</v>
      </c>
    </row>
    <row r="3" spans="1:33" s="94" customFormat="1" ht="15" customHeight="1" x14ac:dyDescent="0.25">
      <c r="A3" s="92" t="s">
        <v>0</v>
      </c>
      <c r="B3" s="103" t="s">
        <v>1</v>
      </c>
      <c r="C3" s="103" t="s">
        <v>234</v>
      </c>
      <c r="D3" s="103" t="s">
        <v>2</v>
      </c>
      <c r="E3" s="103" t="s">
        <v>3</v>
      </c>
      <c r="F3" s="103" t="s">
        <v>243</v>
      </c>
      <c r="G3" s="103" t="s">
        <v>235</v>
      </c>
      <c r="H3" s="103" t="s">
        <v>5</v>
      </c>
      <c r="I3" s="103" t="s">
        <v>4</v>
      </c>
      <c r="J3" s="103" t="s">
        <v>6</v>
      </c>
      <c r="K3" s="103" t="s">
        <v>246</v>
      </c>
      <c r="L3" s="103" t="s">
        <v>7</v>
      </c>
      <c r="M3" s="103" t="s">
        <v>8</v>
      </c>
      <c r="N3" s="103" t="s">
        <v>9</v>
      </c>
      <c r="O3" s="103" t="s">
        <v>242</v>
      </c>
      <c r="P3" s="123" t="s">
        <v>10</v>
      </c>
      <c r="Q3" s="123" t="s">
        <v>11</v>
      </c>
      <c r="R3" s="123" t="s">
        <v>236</v>
      </c>
      <c r="S3" s="123" t="s">
        <v>245</v>
      </c>
      <c r="T3" s="123" t="s">
        <v>12</v>
      </c>
      <c r="U3" s="130" t="s">
        <v>237</v>
      </c>
      <c r="V3" s="103" t="s">
        <v>238</v>
      </c>
      <c r="W3" s="103" t="s">
        <v>241</v>
      </c>
      <c r="X3" s="103" t="s">
        <v>13</v>
      </c>
      <c r="Y3" s="103" t="s">
        <v>14</v>
      </c>
      <c r="Z3" s="103" t="s">
        <v>15</v>
      </c>
      <c r="AA3" s="103" t="s">
        <v>16</v>
      </c>
      <c r="AB3" s="103" t="s">
        <v>17</v>
      </c>
      <c r="AC3" s="102" t="s">
        <v>239</v>
      </c>
      <c r="AD3" s="102" t="s">
        <v>240</v>
      </c>
      <c r="AE3" s="102" t="s">
        <v>18</v>
      </c>
      <c r="AF3" s="103" t="s">
        <v>19</v>
      </c>
      <c r="AG3" s="93" t="s">
        <v>20</v>
      </c>
    </row>
    <row r="4" spans="1:33" s="94" customFormat="1" ht="15" customHeight="1" x14ac:dyDescent="0.25">
      <c r="A4" s="95" t="s">
        <v>88</v>
      </c>
      <c r="B4" s="96">
        <v>428</v>
      </c>
      <c r="C4" s="96">
        <v>3051</v>
      </c>
      <c r="D4" s="96"/>
      <c r="E4" s="91">
        <v>14419</v>
      </c>
      <c r="F4" s="91">
        <v>3936</v>
      </c>
      <c r="G4" s="91">
        <v>4778</v>
      </c>
      <c r="H4" s="96"/>
      <c r="I4" s="96">
        <v>121</v>
      </c>
      <c r="J4" s="91">
        <v>2313.4699999999998</v>
      </c>
      <c r="K4" s="91">
        <v>4181</v>
      </c>
      <c r="L4" s="96">
        <v>7048</v>
      </c>
      <c r="M4" s="91">
        <v>3602</v>
      </c>
      <c r="N4" s="91">
        <v>6912</v>
      </c>
      <c r="O4" s="91">
        <v>537</v>
      </c>
      <c r="P4" s="124">
        <v>2622</v>
      </c>
      <c r="Q4" s="124">
        <v>196</v>
      </c>
      <c r="R4" s="124">
        <v>913.59</v>
      </c>
      <c r="S4" s="91">
        <v>2563</v>
      </c>
      <c r="T4" s="124">
        <v>8065.28</v>
      </c>
      <c r="U4" s="131">
        <v>1061</v>
      </c>
      <c r="V4" s="96">
        <v>445</v>
      </c>
      <c r="W4" s="96">
        <v>3073</v>
      </c>
      <c r="X4" s="91">
        <v>3175</v>
      </c>
      <c r="Y4" s="91">
        <v>7430</v>
      </c>
      <c r="Z4" s="91">
        <v>1239</v>
      </c>
      <c r="AA4" s="96">
        <v>7728</v>
      </c>
      <c r="AB4" s="91">
        <v>9448</v>
      </c>
      <c r="AC4" s="91">
        <v>24317</v>
      </c>
      <c r="AD4" s="91">
        <v>10167</v>
      </c>
      <c r="AE4" s="91">
        <v>13162</v>
      </c>
      <c r="AF4" s="96">
        <v>2486</v>
      </c>
      <c r="AG4" s="97">
        <f t="shared" ref="AG4:AG17" si="0">SUM(B4:AF4)</f>
        <v>149417.34</v>
      </c>
    </row>
    <row r="5" spans="1:33" s="94" customFormat="1" ht="15" customHeight="1" x14ac:dyDescent="0.25">
      <c r="A5" s="95" t="s">
        <v>89</v>
      </c>
      <c r="B5" s="96">
        <v>10029</v>
      </c>
      <c r="C5" s="96">
        <v>8361</v>
      </c>
      <c r="D5" s="96">
        <v>732254</v>
      </c>
      <c r="E5" s="91">
        <v>90128</v>
      </c>
      <c r="F5" s="96">
        <v>4530</v>
      </c>
      <c r="G5" s="91">
        <v>11807</v>
      </c>
      <c r="H5" s="91">
        <v>7887.15</v>
      </c>
      <c r="I5" s="96">
        <v>7202</v>
      </c>
      <c r="J5" s="91">
        <v>34606.959999999999</v>
      </c>
      <c r="K5" s="91">
        <v>26755</v>
      </c>
      <c r="L5" s="91">
        <v>325213</v>
      </c>
      <c r="M5" s="91">
        <v>139012</v>
      </c>
      <c r="N5" s="91">
        <v>106975</v>
      </c>
      <c r="O5" s="91">
        <v>2437</v>
      </c>
      <c r="P5" s="124">
        <v>2509</v>
      </c>
      <c r="Q5" s="124">
        <v>12598</v>
      </c>
      <c r="R5" s="91">
        <v>379.11</v>
      </c>
      <c r="S5" s="91">
        <v>20949</v>
      </c>
      <c r="T5" s="124">
        <v>155754.03</v>
      </c>
      <c r="U5" s="131">
        <v>283</v>
      </c>
      <c r="V5" s="96">
        <v>1608</v>
      </c>
      <c r="W5" s="96">
        <v>44636</v>
      </c>
      <c r="X5" s="91">
        <v>35007</v>
      </c>
      <c r="Y5" s="91">
        <v>141835</v>
      </c>
      <c r="Z5" s="91">
        <v>10322</v>
      </c>
      <c r="AA5" s="96">
        <v>7763</v>
      </c>
      <c r="AB5" s="91">
        <v>143141</v>
      </c>
      <c r="AC5" s="91">
        <v>114546</v>
      </c>
      <c r="AD5" s="91">
        <v>48223</v>
      </c>
      <c r="AE5" s="91">
        <v>183345</v>
      </c>
      <c r="AF5" s="96">
        <v>98367</v>
      </c>
      <c r="AG5" s="97">
        <f t="shared" si="0"/>
        <v>2528462.25</v>
      </c>
    </row>
    <row r="6" spans="1:33" s="94" customFormat="1" ht="15" customHeight="1" x14ac:dyDescent="0.25">
      <c r="A6" s="95" t="s">
        <v>90</v>
      </c>
      <c r="B6" s="96"/>
      <c r="C6" s="96"/>
      <c r="D6" s="96"/>
      <c r="E6" s="91">
        <v>9583</v>
      </c>
      <c r="F6" s="96"/>
      <c r="G6" s="91">
        <v>27071</v>
      </c>
      <c r="H6" s="96"/>
      <c r="I6" s="96"/>
      <c r="J6" s="96"/>
      <c r="K6" s="96"/>
      <c r="L6" s="96"/>
      <c r="M6" s="91">
        <v>3444</v>
      </c>
      <c r="N6" s="91">
        <v>3380</v>
      </c>
      <c r="O6" s="91">
        <v>3185</v>
      </c>
      <c r="P6" s="124"/>
      <c r="Q6" s="124">
        <v>13039</v>
      </c>
      <c r="R6" s="124"/>
      <c r="S6" s="125"/>
      <c r="T6" s="124">
        <v>118547.92</v>
      </c>
      <c r="U6" s="131"/>
      <c r="V6" s="96"/>
      <c r="W6" s="96"/>
      <c r="X6" s="96"/>
      <c r="Y6" s="96"/>
      <c r="Z6" s="96"/>
      <c r="AA6" s="96"/>
      <c r="AB6" s="96"/>
      <c r="AC6" s="91">
        <v>6106</v>
      </c>
      <c r="AD6" s="91">
        <v>1275</v>
      </c>
      <c r="AE6" s="91"/>
      <c r="AF6" s="96"/>
      <c r="AG6" s="97">
        <f t="shared" si="0"/>
        <v>185630.91999999998</v>
      </c>
    </row>
    <row r="7" spans="1:33" s="94" customFormat="1" ht="15" customHeight="1" x14ac:dyDescent="0.25">
      <c r="A7" s="95" t="s">
        <v>91</v>
      </c>
      <c r="B7" s="96"/>
      <c r="C7" s="96"/>
      <c r="D7" s="96"/>
      <c r="E7" s="91"/>
      <c r="F7" s="96"/>
      <c r="G7" s="96"/>
      <c r="H7" s="96"/>
      <c r="I7" s="96"/>
      <c r="J7" s="96"/>
      <c r="K7" s="91"/>
      <c r="L7" s="96"/>
      <c r="M7" s="96"/>
      <c r="N7" s="96"/>
      <c r="O7" s="91"/>
      <c r="P7" s="124"/>
      <c r="Q7" s="124"/>
      <c r="R7" s="124"/>
      <c r="S7" s="125"/>
      <c r="T7" s="124"/>
      <c r="U7" s="131"/>
      <c r="V7" s="96"/>
      <c r="W7" s="96"/>
      <c r="X7" s="91"/>
      <c r="Y7" s="96"/>
      <c r="Z7" s="96"/>
      <c r="AA7" s="96"/>
      <c r="AB7" s="96"/>
      <c r="AC7" s="91">
        <v>90247</v>
      </c>
      <c r="AD7" s="91">
        <v>57297</v>
      </c>
      <c r="AE7" s="91"/>
      <c r="AF7" s="96">
        <v>23667</v>
      </c>
      <c r="AG7" s="97">
        <f t="shared" si="0"/>
        <v>171211</v>
      </c>
    </row>
    <row r="8" spans="1:33" s="94" customFormat="1" ht="15" customHeight="1" x14ac:dyDescent="0.25">
      <c r="A8" t="s">
        <v>312</v>
      </c>
      <c r="B8" s="96">
        <v>3549</v>
      </c>
      <c r="C8" s="96">
        <v>173</v>
      </c>
      <c r="D8" s="96"/>
      <c r="E8" s="91">
        <v>12282</v>
      </c>
      <c r="F8" s="96">
        <v>4008</v>
      </c>
      <c r="G8" s="96">
        <v>117198</v>
      </c>
      <c r="H8" s="96">
        <v>4439.1899999999996</v>
      </c>
      <c r="I8" s="96">
        <v>1843</v>
      </c>
      <c r="J8" s="96">
        <v>12299.07</v>
      </c>
      <c r="K8" s="91">
        <v>4239</v>
      </c>
      <c r="L8" s="96">
        <v>82029</v>
      </c>
      <c r="M8" s="96">
        <v>301828</v>
      </c>
      <c r="N8" s="91">
        <v>74062</v>
      </c>
      <c r="O8" s="91">
        <v>4510</v>
      </c>
      <c r="P8" s="124">
        <v>40081</v>
      </c>
      <c r="Q8" s="124">
        <v>42433</v>
      </c>
      <c r="R8" s="91">
        <v>175.25</v>
      </c>
      <c r="S8" s="91">
        <v>600</v>
      </c>
      <c r="T8" s="124">
        <v>84676.6</v>
      </c>
      <c r="U8" s="131">
        <v>809</v>
      </c>
      <c r="V8" s="96">
        <v>3347</v>
      </c>
      <c r="W8" s="96">
        <v>68674</v>
      </c>
      <c r="X8" s="91">
        <v>10510</v>
      </c>
      <c r="Y8" s="91">
        <v>41914</v>
      </c>
      <c r="Z8" s="91">
        <v>25390</v>
      </c>
      <c r="AA8" s="96">
        <v>246</v>
      </c>
      <c r="AB8" s="91">
        <v>150627</v>
      </c>
      <c r="AC8" s="96"/>
      <c r="AD8" s="91"/>
      <c r="AE8" s="91">
        <v>61614</v>
      </c>
      <c r="AF8" s="96"/>
      <c r="AG8" s="97"/>
    </row>
    <row r="9" spans="1:33" s="94" customFormat="1" ht="15" customHeight="1" x14ac:dyDescent="0.25">
      <c r="A9" t="s">
        <v>313</v>
      </c>
      <c r="B9" s="96">
        <v>111</v>
      </c>
      <c r="C9" s="96">
        <v>2128</v>
      </c>
      <c r="D9" s="96"/>
      <c r="E9" s="91">
        <v>99167</v>
      </c>
      <c r="F9" s="96">
        <v>16289</v>
      </c>
      <c r="G9" s="96">
        <v>2636</v>
      </c>
      <c r="H9" s="96">
        <v>17942</v>
      </c>
      <c r="I9" s="96">
        <v>111</v>
      </c>
      <c r="J9" s="96">
        <v>2085.23</v>
      </c>
      <c r="K9" s="91"/>
      <c r="L9" s="96">
        <v>4823</v>
      </c>
      <c r="M9" s="96">
        <v>40721</v>
      </c>
      <c r="N9" s="91">
        <v>18428</v>
      </c>
      <c r="O9" s="96">
        <v>596</v>
      </c>
      <c r="P9" s="124">
        <v>266</v>
      </c>
      <c r="Q9" s="124">
        <v>1051</v>
      </c>
      <c r="R9" s="91">
        <v>651.29999999999995</v>
      </c>
      <c r="S9" s="91">
        <v>1417</v>
      </c>
      <c r="T9" s="124">
        <v>18487.580000000002</v>
      </c>
      <c r="U9" s="131">
        <v>596</v>
      </c>
      <c r="V9" s="96">
        <v>397</v>
      </c>
      <c r="W9" s="96">
        <v>11589</v>
      </c>
      <c r="X9" s="91">
        <v>2588</v>
      </c>
      <c r="Y9" s="91">
        <v>1164</v>
      </c>
      <c r="Z9" s="91">
        <v>1068</v>
      </c>
      <c r="AA9" s="96">
        <v>4551</v>
      </c>
      <c r="AB9" s="91">
        <v>33761</v>
      </c>
      <c r="AC9" s="96"/>
      <c r="AD9" s="91"/>
      <c r="AE9" s="91"/>
      <c r="AF9" s="96"/>
      <c r="AG9" s="97"/>
    </row>
    <row r="10" spans="1:33" s="94" customFormat="1" ht="15" customHeight="1" x14ac:dyDescent="0.25">
      <c r="A10" s="95" t="s">
        <v>92</v>
      </c>
      <c r="B10" s="96"/>
      <c r="C10" s="96">
        <v>12721</v>
      </c>
      <c r="D10" s="96"/>
      <c r="E10" s="91">
        <v>59306</v>
      </c>
      <c r="F10" s="96">
        <v>4854</v>
      </c>
      <c r="G10" s="91">
        <v>12083</v>
      </c>
      <c r="H10" s="91">
        <v>4664.7</v>
      </c>
      <c r="I10" s="96">
        <v>984</v>
      </c>
      <c r="J10" s="91">
        <v>19345.400000000001</v>
      </c>
      <c r="K10" s="91">
        <v>106670</v>
      </c>
      <c r="L10" s="91">
        <v>69435</v>
      </c>
      <c r="M10" s="91">
        <v>120932</v>
      </c>
      <c r="N10" s="91">
        <v>1589</v>
      </c>
      <c r="O10" s="91">
        <v>1998</v>
      </c>
      <c r="P10" s="124">
        <v>9946</v>
      </c>
      <c r="Q10" s="124">
        <v>1916</v>
      </c>
      <c r="R10" s="91">
        <v>6333.64</v>
      </c>
      <c r="S10" s="91">
        <v>2579</v>
      </c>
      <c r="T10" s="124">
        <v>104445.83</v>
      </c>
      <c r="U10" s="131">
        <v>105</v>
      </c>
      <c r="V10" s="96">
        <v>691</v>
      </c>
      <c r="W10" s="96">
        <v>38113</v>
      </c>
      <c r="X10" s="91">
        <v>864</v>
      </c>
      <c r="Y10" s="91">
        <v>23095</v>
      </c>
      <c r="Z10" s="91">
        <v>940</v>
      </c>
      <c r="AA10" s="96">
        <v>6802</v>
      </c>
      <c r="AB10" s="91">
        <v>23043</v>
      </c>
      <c r="AC10" s="91">
        <v>400266</v>
      </c>
      <c r="AD10" s="96"/>
      <c r="AE10" s="96"/>
      <c r="AF10" s="96">
        <v>217</v>
      </c>
      <c r="AG10" s="97">
        <f t="shared" si="0"/>
        <v>1033938.57</v>
      </c>
    </row>
    <row r="11" spans="1:33" s="94" customFormat="1" ht="15" customHeight="1" x14ac:dyDescent="0.25">
      <c r="A11" s="95" t="s">
        <v>93</v>
      </c>
      <c r="B11" s="96">
        <v>5681</v>
      </c>
      <c r="C11" s="96">
        <v>11370</v>
      </c>
      <c r="D11" s="96">
        <v>111516</v>
      </c>
      <c r="E11" s="91">
        <v>44542</v>
      </c>
      <c r="F11" s="96">
        <v>18569</v>
      </c>
      <c r="G11" s="91">
        <v>2298</v>
      </c>
      <c r="H11" s="91">
        <v>6491.71</v>
      </c>
      <c r="I11" s="96">
        <v>2334</v>
      </c>
      <c r="J11" s="91">
        <v>23290.26</v>
      </c>
      <c r="K11" s="91">
        <v>21686</v>
      </c>
      <c r="L11" s="91">
        <v>63081</v>
      </c>
      <c r="M11" s="91">
        <v>112436</v>
      </c>
      <c r="N11" s="91">
        <v>9519</v>
      </c>
      <c r="O11" s="96">
        <v>64</v>
      </c>
      <c r="P11" s="124">
        <v>8527</v>
      </c>
      <c r="Q11" s="124">
        <v>9505</v>
      </c>
      <c r="R11" s="91">
        <v>596.97</v>
      </c>
      <c r="S11" s="91">
        <v>24315</v>
      </c>
      <c r="T11" s="124">
        <v>187651.32</v>
      </c>
      <c r="U11" s="131">
        <v>1052</v>
      </c>
      <c r="V11" s="96">
        <v>2569</v>
      </c>
      <c r="W11" s="96">
        <v>53681</v>
      </c>
      <c r="X11" s="91">
        <v>18257</v>
      </c>
      <c r="Y11" s="91">
        <v>7145</v>
      </c>
      <c r="Z11" s="91">
        <v>4904</v>
      </c>
      <c r="AA11" s="96">
        <v>30692</v>
      </c>
      <c r="AB11" s="91">
        <v>37826</v>
      </c>
      <c r="AC11" s="91">
        <v>269088</v>
      </c>
      <c r="AD11" s="91">
        <v>266262</v>
      </c>
      <c r="AE11" s="91"/>
      <c r="AF11" s="96">
        <v>9020</v>
      </c>
      <c r="AG11" s="97">
        <f t="shared" si="0"/>
        <v>1363969.26</v>
      </c>
    </row>
    <row r="12" spans="1:33" s="94" customFormat="1" ht="15" customHeight="1" x14ac:dyDescent="0.25">
      <c r="A12" s="95" t="s">
        <v>94</v>
      </c>
      <c r="B12" s="96">
        <v>10</v>
      </c>
      <c r="C12" s="96">
        <v>443</v>
      </c>
      <c r="D12" s="96"/>
      <c r="E12" s="96"/>
      <c r="F12" s="96">
        <v>5</v>
      </c>
      <c r="G12" s="96"/>
      <c r="H12" s="96"/>
      <c r="I12" s="96">
        <v>82</v>
      </c>
      <c r="J12" s="96"/>
      <c r="K12" s="96">
        <v>501</v>
      </c>
      <c r="L12" s="96"/>
      <c r="M12" s="96"/>
      <c r="N12" s="91">
        <v>15</v>
      </c>
      <c r="O12" s="96">
        <v>236</v>
      </c>
      <c r="P12" s="124"/>
      <c r="Q12" s="124"/>
      <c r="R12" s="91"/>
      <c r="S12" s="124"/>
      <c r="T12" s="124"/>
      <c r="U12" s="131">
        <v>812</v>
      </c>
      <c r="V12" s="96"/>
      <c r="W12" s="96"/>
      <c r="X12" s="96"/>
      <c r="Y12" s="91">
        <v>1120</v>
      </c>
      <c r="Z12" s="96"/>
      <c r="AA12" s="96"/>
      <c r="AB12" s="96"/>
      <c r="AC12" s="96"/>
      <c r="AD12" s="96"/>
      <c r="AE12" s="96">
        <v>361808</v>
      </c>
      <c r="AF12" s="96"/>
      <c r="AG12" s="97">
        <f t="shared" si="0"/>
        <v>365032</v>
      </c>
    </row>
    <row r="13" spans="1:33" s="94" customFormat="1" ht="15" customHeight="1" x14ac:dyDescent="0.25">
      <c r="A13" s="95" t="s">
        <v>95</v>
      </c>
      <c r="B13" s="96">
        <v>20469</v>
      </c>
      <c r="C13" s="96">
        <v>14724</v>
      </c>
      <c r="D13" s="96">
        <v>785780</v>
      </c>
      <c r="E13" s="91">
        <v>1095920</v>
      </c>
      <c r="F13" s="96">
        <v>53631</v>
      </c>
      <c r="G13" s="91">
        <v>700460</v>
      </c>
      <c r="H13" s="91">
        <v>699296.58</v>
      </c>
      <c r="I13" s="96">
        <v>21038</v>
      </c>
      <c r="J13" s="91">
        <v>276543.81</v>
      </c>
      <c r="K13" s="91">
        <v>388591</v>
      </c>
      <c r="L13" s="91">
        <v>698275</v>
      </c>
      <c r="M13" s="91">
        <v>2497520</v>
      </c>
      <c r="N13" s="91">
        <v>727766</v>
      </c>
      <c r="O13" s="96">
        <v>48347</v>
      </c>
      <c r="P13" s="124">
        <v>131437</v>
      </c>
      <c r="Q13" s="124">
        <v>200871</v>
      </c>
      <c r="R13" s="91">
        <v>10625.51</v>
      </c>
      <c r="S13" s="91">
        <v>26861</v>
      </c>
      <c r="T13" s="124">
        <v>2024056.99</v>
      </c>
      <c r="U13" s="131">
        <v>12805</v>
      </c>
      <c r="V13" s="96">
        <v>38659</v>
      </c>
      <c r="W13" s="96">
        <f>922313+59</f>
        <v>922372</v>
      </c>
      <c r="X13" s="91">
        <v>443394</v>
      </c>
      <c r="Y13" s="91">
        <v>428253</v>
      </c>
      <c r="Z13" s="91">
        <v>754495</v>
      </c>
      <c r="AA13" s="96">
        <v>94006</v>
      </c>
      <c r="AB13" s="91">
        <v>863153</v>
      </c>
      <c r="AC13" s="91">
        <v>3177380</v>
      </c>
      <c r="AD13" s="91">
        <v>1657562</v>
      </c>
      <c r="AE13" s="91">
        <v>2428939</v>
      </c>
      <c r="AF13" s="96">
        <v>180334</v>
      </c>
      <c r="AG13" s="97">
        <f t="shared" si="0"/>
        <v>21423564.890000001</v>
      </c>
    </row>
    <row r="14" spans="1:33" s="94" customFormat="1" ht="15" customHeight="1" x14ac:dyDescent="0.25">
      <c r="A14" s="95" t="s">
        <v>96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>
        <v>36</v>
      </c>
      <c r="M14" s="96"/>
      <c r="N14" s="96"/>
      <c r="O14" s="96"/>
      <c r="P14" s="124"/>
      <c r="Q14" s="124"/>
      <c r="R14" s="124"/>
      <c r="S14" s="124"/>
      <c r="T14" s="124"/>
      <c r="U14" s="131"/>
      <c r="V14" s="96"/>
      <c r="W14" s="96"/>
      <c r="X14" s="96"/>
      <c r="Y14" s="96"/>
      <c r="Z14" s="96"/>
      <c r="AA14" s="96"/>
      <c r="AB14" s="96">
        <v>27</v>
      </c>
      <c r="AC14" s="96"/>
      <c r="AD14" s="96"/>
      <c r="AE14" s="96"/>
      <c r="AF14" s="96"/>
      <c r="AG14" s="97">
        <f t="shared" si="0"/>
        <v>63</v>
      </c>
    </row>
    <row r="15" spans="1:33" s="94" customFormat="1" ht="15" customHeight="1" x14ac:dyDescent="0.25">
      <c r="A15" s="95" t="s">
        <v>97</v>
      </c>
      <c r="B15" s="96"/>
      <c r="C15" s="96">
        <v>72</v>
      </c>
      <c r="D15" s="96">
        <v>6795</v>
      </c>
      <c r="E15" s="96">
        <f>455+4</f>
        <v>459</v>
      </c>
      <c r="F15" s="96">
        <f>344+31</f>
        <v>375</v>
      </c>
      <c r="G15" s="96">
        <f>290+123</f>
        <v>413</v>
      </c>
      <c r="H15" s="91">
        <f>153.5+39.88</f>
        <v>193.38</v>
      </c>
      <c r="I15" s="96">
        <f>18+2</f>
        <v>20</v>
      </c>
      <c r="J15" s="96">
        <f>2409.62+263.94</f>
        <v>2673.56</v>
      </c>
      <c r="K15" s="91"/>
      <c r="L15" s="96">
        <f>2841+436</f>
        <v>3277</v>
      </c>
      <c r="M15" s="96">
        <f>41217+6132</f>
        <v>47349</v>
      </c>
      <c r="N15" s="96">
        <f>1671+421</f>
        <v>2092</v>
      </c>
      <c r="O15" s="96">
        <v>15</v>
      </c>
      <c r="P15" s="124">
        <f>1151+60</f>
        <v>1211</v>
      </c>
      <c r="Q15" s="124">
        <f>336+20</f>
        <v>356</v>
      </c>
      <c r="R15" s="124">
        <f>122.18+18.73</f>
        <v>140.91</v>
      </c>
      <c r="S15" s="125">
        <f>128+52</f>
        <v>180</v>
      </c>
      <c r="T15" s="124">
        <f>12463.41+2810.94</f>
        <v>15274.35</v>
      </c>
      <c r="U15" s="131">
        <v>5</v>
      </c>
      <c r="V15" s="96">
        <f>3.3</f>
        <v>3.3</v>
      </c>
      <c r="W15" s="96">
        <f>7137+567</f>
        <v>7704</v>
      </c>
      <c r="X15" s="96">
        <f>711+146</f>
        <v>857</v>
      </c>
      <c r="Y15" s="96">
        <f>745+74</f>
        <v>819</v>
      </c>
      <c r="Z15" s="96">
        <f>1741+70</f>
        <v>1811</v>
      </c>
      <c r="AA15" s="96">
        <f>1933+242</f>
        <v>2175</v>
      </c>
      <c r="AB15" s="96">
        <f>2455+709</f>
        <v>3164</v>
      </c>
      <c r="AC15" s="96">
        <f>18128+4314</f>
        <v>22442</v>
      </c>
      <c r="AD15" s="96">
        <f>9198+718</f>
        <v>9916</v>
      </c>
      <c r="AE15" s="96">
        <f>5844+2128</f>
        <v>7972</v>
      </c>
      <c r="AF15" s="96">
        <f>763+189</f>
        <v>952</v>
      </c>
      <c r="AG15" s="97">
        <f t="shared" si="0"/>
        <v>138716.5</v>
      </c>
    </row>
    <row r="16" spans="1:33" s="94" customFormat="1" ht="15" customHeight="1" x14ac:dyDescent="0.25">
      <c r="A16" s="95" t="s">
        <v>31</v>
      </c>
      <c r="B16" s="96">
        <f>B17-B15-B14-B13-B12-B11-B10-B9-B8-B6-B5-B4</f>
        <v>6573</v>
      </c>
      <c r="C16" s="96">
        <f>C17-C15-C14-C13-C12-C11-C10-C9-C8-C6-C5-C4</f>
        <v>8485</v>
      </c>
      <c r="D16" s="96">
        <f>D17-D15-D14-D13-D12-D11-D10-D9-D8-D6-D5-D4</f>
        <v>830148</v>
      </c>
      <c r="E16" s="96">
        <f t="shared" ref="E16:AE16" si="1">E17-E15-E14-E13-E12-E11-E10-E9-E8-E6-E5-E4</f>
        <v>22525</v>
      </c>
      <c r="F16" s="96">
        <f t="shared" si="1"/>
        <v>9922</v>
      </c>
      <c r="G16" s="96">
        <f t="shared" si="1"/>
        <v>29127</v>
      </c>
      <c r="H16" s="96">
        <f t="shared" si="1"/>
        <v>3122.3800000000101</v>
      </c>
      <c r="I16" s="96">
        <f t="shared" si="1"/>
        <v>1150</v>
      </c>
      <c r="J16" s="96">
        <f t="shared" si="1"/>
        <v>3384.3100000000136</v>
      </c>
      <c r="K16" s="96">
        <f t="shared" si="1"/>
        <v>22563</v>
      </c>
      <c r="L16" s="96">
        <f t="shared" si="1"/>
        <v>9040</v>
      </c>
      <c r="M16" s="96">
        <f t="shared" si="1"/>
        <v>39840</v>
      </c>
      <c r="N16" s="96">
        <f t="shared" si="1"/>
        <v>31925</v>
      </c>
      <c r="O16" s="96">
        <f t="shared" si="1"/>
        <v>7110</v>
      </c>
      <c r="P16" s="96">
        <f t="shared" si="1"/>
        <v>5601</v>
      </c>
      <c r="Q16" s="96">
        <f t="shared" si="1"/>
        <v>8104</v>
      </c>
      <c r="R16" s="96">
        <f t="shared" si="1"/>
        <v>11230.260000000002</v>
      </c>
      <c r="S16" s="96">
        <f t="shared" si="1"/>
        <v>9645</v>
      </c>
      <c r="T16" s="96">
        <f t="shared" si="1"/>
        <v>24049.59999999986</v>
      </c>
      <c r="U16" s="96">
        <f t="shared" si="1"/>
        <v>165</v>
      </c>
      <c r="V16" s="96">
        <f t="shared" si="1"/>
        <v>352.69999999999709</v>
      </c>
      <c r="W16" s="96">
        <f t="shared" si="1"/>
        <v>91550</v>
      </c>
      <c r="X16" s="96">
        <f t="shared" si="1"/>
        <v>5324</v>
      </c>
      <c r="Y16" s="96">
        <f t="shared" si="1"/>
        <v>6758</v>
      </c>
      <c r="Z16" s="96">
        <f t="shared" si="1"/>
        <v>14763</v>
      </c>
      <c r="AA16" s="96">
        <f t="shared" si="1"/>
        <v>42109</v>
      </c>
      <c r="AB16" s="96">
        <f t="shared" si="1"/>
        <v>15395</v>
      </c>
      <c r="AC16" s="96">
        <f>AC17-AC15-AC7-AC14-AC13-AC12-AC11-AC10-AC9-AC8-AC6-AC5-AC4</f>
        <v>4127</v>
      </c>
      <c r="AD16" s="96">
        <f>AD17-AD15-AD7-AD14-AD13-AD12-AD11-AD10-AD9-AD8-AD6-AD5-AD4</f>
        <v>13709</v>
      </c>
      <c r="AE16" s="96">
        <f t="shared" si="1"/>
        <v>24786</v>
      </c>
      <c r="AF16" s="96">
        <f>AF17-AF15-AF14-AF13-AF12-AF11-AF10-AF9-AF8-AF7-AF6-AF5-AF4</f>
        <v>919</v>
      </c>
      <c r="AG16" s="97">
        <f t="shared" si="0"/>
        <v>1303502.2499999998</v>
      </c>
    </row>
    <row r="17" spans="1:33" s="101" customFormat="1" ht="15" customHeight="1" x14ac:dyDescent="0.25">
      <c r="A17" s="98" t="s">
        <v>40</v>
      </c>
      <c r="B17" s="99">
        <v>46850</v>
      </c>
      <c r="C17" s="99">
        <v>61528</v>
      </c>
      <c r="D17" s="99">
        <v>2466493</v>
      </c>
      <c r="E17" s="10">
        <v>1448331</v>
      </c>
      <c r="F17" s="10">
        <v>116119</v>
      </c>
      <c r="G17" s="10">
        <v>907871</v>
      </c>
      <c r="H17" s="10">
        <v>744037.09</v>
      </c>
      <c r="I17" s="99">
        <v>34885</v>
      </c>
      <c r="J17" s="99">
        <v>376542.07</v>
      </c>
      <c r="K17" s="99">
        <v>575186</v>
      </c>
      <c r="L17" s="99">
        <v>1262257</v>
      </c>
      <c r="M17" s="99">
        <v>3306684</v>
      </c>
      <c r="N17" s="10">
        <v>982663</v>
      </c>
      <c r="O17" s="99">
        <v>69035</v>
      </c>
      <c r="P17" s="99">
        <v>202200</v>
      </c>
      <c r="Q17" s="99">
        <v>290069</v>
      </c>
      <c r="R17" s="10">
        <v>31046.54</v>
      </c>
      <c r="S17" s="10">
        <v>89109</v>
      </c>
      <c r="T17" s="99">
        <v>2741009.5</v>
      </c>
      <c r="U17" s="132">
        <v>17693</v>
      </c>
      <c r="V17" s="99">
        <v>48072</v>
      </c>
      <c r="W17" s="99">
        <v>1241392</v>
      </c>
      <c r="X17" s="99">
        <v>519976</v>
      </c>
      <c r="Y17" s="99">
        <v>659533</v>
      </c>
      <c r="Z17" s="99">
        <v>814932</v>
      </c>
      <c r="AA17" s="99">
        <v>196072</v>
      </c>
      <c r="AB17" s="99">
        <v>1279585</v>
      </c>
      <c r="AC17" s="10">
        <v>4108519</v>
      </c>
      <c r="AD17" s="10">
        <v>2064411</v>
      </c>
      <c r="AE17" s="10">
        <v>3081626</v>
      </c>
      <c r="AF17" s="99">
        <v>315962</v>
      </c>
      <c r="AG17" s="100">
        <f t="shared" si="0"/>
        <v>30099688.199999999</v>
      </c>
    </row>
    <row r="18" spans="1:33" x14ac:dyDescent="0.25">
      <c r="Q18" s="71" t="s">
        <v>314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33" width="16" style="71" customWidth="1"/>
    <col min="34" max="16384" width="9.140625" style="71"/>
  </cols>
  <sheetData>
    <row r="1" spans="1:33" ht="18.75" x14ac:dyDescent="0.3">
      <c r="A1" s="12" t="s">
        <v>303</v>
      </c>
    </row>
    <row r="2" spans="1:33" x14ac:dyDescent="0.25">
      <c r="A2" s="13" t="s">
        <v>98</v>
      </c>
    </row>
    <row r="3" spans="1:33" x14ac:dyDescent="0.25">
      <c r="A3" s="1" t="s">
        <v>0</v>
      </c>
      <c r="B3" s="122" t="s">
        <v>1</v>
      </c>
      <c r="C3" s="122" t="s">
        <v>234</v>
      </c>
      <c r="D3" s="122" t="s">
        <v>2</v>
      </c>
      <c r="E3" s="122" t="s">
        <v>3</v>
      </c>
      <c r="F3" s="122" t="s">
        <v>243</v>
      </c>
      <c r="G3" s="122" t="s">
        <v>235</v>
      </c>
      <c r="H3" s="122" t="s">
        <v>246</v>
      </c>
      <c r="I3" s="122" t="s">
        <v>5</v>
      </c>
      <c r="J3" s="122" t="s">
        <v>4</v>
      </c>
      <c r="K3" s="122" t="s">
        <v>6</v>
      </c>
      <c r="L3" s="133" t="s">
        <v>246</v>
      </c>
      <c r="M3" s="122" t="s">
        <v>7</v>
      </c>
      <c r="N3" s="122" t="s">
        <v>8</v>
      </c>
      <c r="O3" s="122" t="s">
        <v>9</v>
      </c>
      <c r="P3" s="122" t="s">
        <v>242</v>
      </c>
      <c r="Q3" s="122" t="s">
        <v>10</v>
      </c>
      <c r="R3" s="122" t="s">
        <v>11</v>
      </c>
      <c r="S3" s="122" t="s">
        <v>236</v>
      </c>
      <c r="T3" s="122" t="s">
        <v>245</v>
      </c>
      <c r="U3" s="122" t="s">
        <v>12</v>
      </c>
      <c r="V3" s="122" t="s">
        <v>237</v>
      </c>
      <c r="W3" s="122" t="s">
        <v>238</v>
      </c>
      <c r="X3" s="122" t="s">
        <v>241</v>
      </c>
      <c r="Y3" s="122" t="s">
        <v>13</v>
      </c>
      <c r="Z3" s="122" t="s">
        <v>14</v>
      </c>
      <c r="AA3" s="122" t="s">
        <v>15</v>
      </c>
      <c r="AB3" s="122" t="s">
        <v>16</v>
      </c>
      <c r="AC3" s="122" t="s">
        <v>17</v>
      </c>
      <c r="AD3" s="121" t="s">
        <v>239</v>
      </c>
      <c r="AE3" s="121" t="s">
        <v>240</v>
      </c>
      <c r="AF3" s="121" t="s">
        <v>18</v>
      </c>
      <c r="AG3" s="122" t="s">
        <v>19</v>
      </c>
    </row>
    <row r="4" spans="1:33" x14ac:dyDescent="0.25">
      <c r="A4" s="91" t="s">
        <v>268</v>
      </c>
      <c r="B4" s="91">
        <v>26352</v>
      </c>
      <c r="C4" s="91">
        <v>65440</v>
      </c>
      <c r="D4" s="30">
        <v>65517</v>
      </c>
      <c r="E4" s="91">
        <v>414944</v>
      </c>
      <c r="F4" s="91">
        <v>151685</v>
      </c>
      <c r="G4" s="91">
        <v>249632</v>
      </c>
      <c r="H4">
        <v>230714</v>
      </c>
      <c r="I4" s="91">
        <v>45100.2</v>
      </c>
      <c r="J4" s="91">
        <v>12234</v>
      </c>
      <c r="K4" s="91">
        <v>143114.20000000001</v>
      </c>
      <c r="L4" s="91">
        <v>230714</v>
      </c>
      <c r="M4" s="91">
        <v>455360</v>
      </c>
      <c r="N4" s="91">
        <v>800298</v>
      </c>
      <c r="O4" s="153">
        <v>286916</v>
      </c>
      <c r="P4" s="91">
        <v>43725</v>
      </c>
      <c r="Q4" s="153">
        <v>75568</v>
      </c>
      <c r="R4" s="91">
        <v>67345</v>
      </c>
      <c r="S4" s="91">
        <v>46710.05</v>
      </c>
      <c r="T4" s="91">
        <v>108127</v>
      </c>
      <c r="U4" s="91">
        <v>571401.73</v>
      </c>
      <c r="V4" s="91">
        <v>20403</v>
      </c>
      <c r="W4" s="91">
        <v>18122</v>
      </c>
      <c r="X4" s="91">
        <v>226604</v>
      </c>
      <c r="Y4" s="91">
        <v>125926</v>
      </c>
      <c r="Z4" s="91">
        <v>301094</v>
      </c>
      <c r="AA4" s="91">
        <v>93050</v>
      </c>
      <c r="AB4" s="91">
        <v>617286</v>
      </c>
      <c r="AC4" s="91">
        <v>445986</v>
      </c>
      <c r="AD4" s="91">
        <v>1332382</v>
      </c>
      <c r="AE4" s="91">
        <v>597410</v>
      </c>
      <c r="AF4" s="91">
        <v>685344</v>
      </c>
      <c r="AG4" s="91">
        <v>90172</v>
      </c>
    </row>
    <row r="5" spans="1:33" x14ac:dyDescent="0.25">
      <c r="A5" s="91" t="s">
        <v>269</v>
      </c>
      <c r="B5" s="91"/>
      <c r="C5" s="91"/>
      <c r="D5" s="30">
        <v>17900</v>
      </c>
      <c r="E5" s="91"/>
      <c r="F5" s="91"/>
      <c r="G5" s="91"/>
      <c r="H5" s="91"/>
      <c r="I5" s="91">
        <v>30852</v>
      </c>
      <c r="J5" s="91"/>
      <c r="K5" s="91"/>
      <c r="L5" s="91"/>
      <c r="M5" s="91"/>
      <c r="N5" s="91"/>
      <c r="O5" s="91"/>
      <c r="P5" s="91"/>
      <c r="Q5" s="91"/>
      <c r="R5" s="91">
        <v>12</v>
      </c>
      <c r="S5" s="91"/>
      <c r="T5" s="91"/>
      <c r="U5" s="91">
        <v>7520.22</v>
      </c>
      <c r="V5" s="91"/>
      <c r="W5" s="91"/>
      <c r="X5" s="91"/>
      <c r="Y5" s="91"/>
      <c r="Z5" s="91"/>
      <c r="AA5" s="91"/>
      <c r="AB5" s="91"/>
      <c r="AC5" s="91"/>
      <c r="AD5" s="91"/>
      <c r="AE5" s="91">
        <v>21619</v>
      </c>
      <c r="AF5" s="91"/>
      <c r="AG5" s="91"/>
    </row>
    <row r="6" spans="1:33" x14ac:dyDescent="0.25">
      <c r="A6" s="91" t="s">
        <v>299</v>
      </c>
      <c r="B6" s="91"/>
      <c r="C6" s="91"/>
      <c r="D6" s="91"/>
      <c r="E6" s="91">
        <v>188</v>
      </c>
      <c r="F6" s="91"/>
      <c r="G6" s="91"/>
      <c r="H6" s="91"/>
      <c r="I6" s="91"/>
      <c r="J6" s="91"/>
      <c r="K6" s="91"/>
      <c r="L6" s="91"/>
      <c r="M6" s="91">
        <v>93</v>
      </c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>
        <v>763</v>
      </c>
      <c r="AB6" s="91"/>
      <c r="AC6" s="91">
        <v>5704</v>
      </c>
      <c r="AD6" s="91"/>
      <c r="AE6" s="91"/>
      <c r="AF6" s="91"/>
      <c r="AG6" s="91"/>
    </row>
    <row r="7" spans="1:33" x14ac:dyDescent="0.25">
      <c r="A7" s="91" t="s">
        <v>270</v>
      </c>
      <c r="B7" s="91">
        <v>1193</v>
      </c>
      <c r="C7" s="91"/>
      <c r="D7" s="30">
        <v>5403</v>
      </c>
      <c r="E7" s="91"/>
      <c r="F7" s="91">
        <v>1226</v>
      </c>
      <c r="G7" s="91">
        <v>4976</v>
      </c>
      <c r="H7" s="91"/>
      <c r="I7" s="91"/>
      <c r="J7" s="91">
        <f>222+71+625</f>
        <v>918</v>
      </c>
      <c r="K7" s="91">
        <v>6296.91</v>
      </c>
      <c r="L7" s="91"/>
      <c r="M7" s="91">
        <v>686</v>
      </c>
      <c r="N7" s="91">
        <f>700+4753</f>
        <v>5453</v>
      </c>
      <c r="O7" s="153">
        <v>6022</v>
      </c>
      <c r="P7" s="91">
        <v>926</v>
      </c>
      <c r="Q7" s="91"/>
      <c r="R7" s="91">
        <v>1947</v>
      </c>
      <c r="S7" s="91"/>
      <c r="T7" s="91">
        <v>1042</v>
      </c>
      <c r="U7" s="91"/>
      <c r="V7" s="91">
        <v>44</v>
      </c>
      <c r="W7" s="91">
        <v>2241</v>
      </c>
      <c r="X7" s="91">
        <f>47+99+1933</f>
        <v>2079</v>
      </c>
      <c r="Y7" s="91"/>
      <c r="Z7" s="91">
        <f>703+661</f>
        <v>1364</v>
      </c>
      <c r="AA7" s="91">
        <v>255</v>
      </c>
      <c r="AB7" s="91"/>
      <c r="AC7" s="91"/>
      <c r="AD7" s="91">
        <v>76983</v>
      </c>
      <c r="AE7" s="91"/>
      <c r="AF7" s="91">
        <v>675</v>
      </c>
      <c r="AG7" s="91"/>
    </row>
    <row r="8" spans="1:33" x14ac:dyDescent="0.25">
      <c r="A8" s="91" t="s">
        <v>31</v>
      </c>
      <c r="B8" s="91"/>
      <c r="C8" s="91">
        <f>1190+310+2200+96</f>
        <v>3796</v>
      </c>
      <c r="D8" s="91">
        <f>3216+1500+1435</f>
        <v>6151</v>
      </c>
      <c r="E8" s="91">
        <f>1259+1274</f>
        <v>2533</v>
      </c>
      <c r="F8" s="91">
        <v>6</v>
      </c>
      <c r="G8" s="91"/>
      <c r="H8" s="91">
        <f>141+358+562</f>
        <v>1061</v>
      </c>
      <c r="I8" s="91">
        <v>19589</v>
      </c>
      <c r="J8" s="91">
        <v>191</v>
      </c>
      <c r="K8" s="91"/>
      <c r="L8" s="91">
        <f>141+358+562</f>
        <v>1061</v>
      </c>
      <c r="M8" s="91"/>
      <c r="N8" s="91"/>
      <c r="O8" s="91"/>
      <c r="P8" s="91"/>
      <c r="Q8" s="91">
        <f>116+813</f>
        <v>929</v>
      </c>
      <c r="R8" s="91">
        <v>52</v>
      </c>
      <c r="S8" s="91">
        <f>558.91+265.99+63.67</f>
        <v>888.56999999999994</v>
      </c>
      <c r="T8" s="91"/>
      <c r="U8" s="91">
        <f>60704.09+28241.54+2880.31+2176.54+1.52</f>
        <v>94004</v>
      </c>
      <c r="V8" s="91"/>
      <c r="W8" s="91"/>
      <c r="X8" s="91">
        <v>1000</v>
      </c>
      <c r="Y8" s="91">
        <v>112</v>
      </c>
      <c r="Z8" s="91">
        <v>12830</v>
      </c>
      <c r="AA8" s="91">
        <v>1921</v>
      </c>
      <c r="AB8" s="91">
        <f>284+2647</f>
        <v>2931</v>
      </c>
      <c r="AC8" s="91">
        <v>2492</v>
      </c>
      <c r="AD8" s="91">
        <v>115947</v>
      </c>
      <c r="AE8" s="91">
        <f>90530+58251+1389+1317</f>
        <v>151487</v>
      </c>
      <c r="AF8" s="91">
        <f>9992+450+28505+946+82945</f>
        <v>122838</v>
      </c>
      <c r="AG8" s="91">
        <v>154</v>
      </c>
    </row>
    <row r="9" spans="1:33" s="7" customFormat="1" x14ac:dyDescent="0.25">
      <c r="A9" s="10" t="s">
        <v>40</v>
      </c>
      <c r="B9" s="10">
        <f>SUM(B4:B8)</f>
        <v>27545</v>
      </c>
      <c r="C9" s="10">
        <f>SUM(C4:C8)</f>
        <v>69236</v>
      </c>
      <c r="D9" s="10">
        <f>SUM(D4:D8)</f>
        <v>94971</v>
      </c>
      <c r="E9" s="10">
        <f>SUM(E4:E8)</f>
        <v>417665</v>
      </c>
      <c r="F9" s="10">
        <f>SUM(F4:F8)</f>
        <v>152917</v>
      </c>
      <c r="G9" s="10">
        <f t="shared" ref="G9:Q9" si="0">SUM(G4:G8)</f>
        <v>254608</v>
      </c>
      <c r="H9" s="10">
        <f t="shared" si="0"/>
        <v>231775</v>
      </c>
      <c r="I9" s="10">
        <f t="shared" si="0"/>
        <v>95541.2</v>
      </c>
      <c r="J9" s="10">
        <f t="shared" si="0"/>
        <v>13343</v>
      </c>
      <c r="K9" s="10">
        <f t="shared" si="0"/>
        <v>149411.11000000002</v>
      </c>
      <c r="L9" s="10">
        <f t="shared" si="0"/>
        <v>231775</v>
      </c>
      <c r="M9" s="10">
        <f t="shared" si="0"/>
        <v>456139</v>
      </c>
      <c r="N9" s="10">
        <f t="shared" si="0"/>
        <v>805751</v>
      </c>
      <c r="O9" s="10">
        <f t="shared" si="0"/>
        <v>292938</v>
      </c>
      <c r="P9" s="10">
        <f t="shared" si="0"/>
        <v>44651</v>
      </c>
      <c r="Q9" s="10">
        <f t="shared" si="0"/>
        <v>76497</v>
      </c>
      <c r="R9" s="10">
        <f t="shared" ref="R9:X9" si="1">SUM(R4:R8)</f>
        <v>69356</v>
      </c>
      <c r="S9" s="10">
        <f t="shared" si="1"/>
        <v>47598.62</v>
      </c>
      <c r="T9" s="10">
        <f t="shared" si="1"/>
        <v>109169</v>
      </c>
      <c r="U9" s="10">
        <f t="shared" si="1"/>
        <v>672925.95</v>
      </c>
      <c r="V9" s="10">
        <f t="shared" si="1"/>
        <v>20447</v>
      </c>
      <c r="W9" s="10">
        <f t="shared" si="1"/>
        <v>20363</v>
      </c>
      <c r="X9" s="10">
        <f t="shared" si="1"/>
        <v>229683</v>
      </c>
      <c r="Y9" s="10">
        <f t="shared" ref="Y9:AG9" si="2">SUM(Y4:Y8)</f>
        <v>126038</v>
      </c>
      <c r="Z9" s="10">
        <f t="shared" si="2"/>
        <v>315288</v>
      </c>
      <c r="AA9" s="10">
        <f t="shared" si="2"/>
        <v>95989</v>
      </c>
      <c r="AB9" s="10">
        <f t="shared" si="2"/>
        <v>620217</v>
      </c>
      <c r="AC9" s="10">
        <f t="shared" si="2"/>
        <v>454182</v>
      </c>
      <c r="AD9" s="10">
        <f t="shared" si="2"/>
        <v>1525312</v>
      </c>
      <c r="AE9" s="10">
        <f t="shared" si="2"/>
        <v>770516</v>
      </c>
      <c r="AF9" s="10">
        <f t="shared" si="2"/>
        <v>808857</v>
      </c>
      <c r="AG9" s="10">
        <f t="shared" si="2"/>
        <v>90326</v>
      </c>
    </row>
    <row r="14" spans="1:33" x14ac:dyDescent="0.25">
      <c r="I14"/>
    </row>
    <row r="15" spans="1:33" x14ac:dyDescent="0.25">
      <c r="J15"/>
    </row>
    <row r="16" spans="1:33" x14ac:dyDescent="0.25">
      <c r="J16"/>
    </row>
    <row r="17" spans="10:10" x14ac:dyDescent="0.25">
      <c r="J17"/>
    </row>
    <row r="18" spans="10:10" x14ac:dyDescent="0.25">
      <c r="J1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35" width="16" customWidth="1"/>
    <col min="36" max="37" width="16" style="115" customWidth="1"/>
    <col min="38" max="63" width="16" customWidth="1"/>
  </cols>
  <sheetData>
    <row r="1" spans="1:63" ht="18.75" x14ac:dyDescent="0.3">
      <c r="A1" s="15" t="s">
        <v>247</v>
      </c>
    </row>
    <row r="2" spans="1:63" x14ac:dyDescent="0.25">
      <c r="A2" s="1" t="s">
        <v>0</v>
      </c>
      <c r="B2" s="154" t="s">
        <v>1</v>
      </c>
      <c r="C2" s="155"/>
      <c r="D2" s="154" t="s">
        <v>234</v>
      </c>
      <c r="E2" s="155"/>
      <c r="F2" s="154" t="s">
        <v>2</v>
      </c>
      <c r="G2" s="155"/>
      <c r="H2" s="154" t="s">
        <v>3</v>
      </c>
      <c r="I2" s="155"/>
      <c r="J2" s="154" t="s">
        <v>243</v>
      </c>
      <c r="K2" s="155"/>
      <c r="L2" s="154" t="s">
        <v>235</v>
      </c>
      <c r="M2" s="155"/>
      <c r="N2" s="154" t="s">
        <v>5</v>
      </c>
      <c r="O2" s="155"/>
      <c r="P2" s="154" t="s">
        <v>4</v>
      </c>
      <c r="Q2" s="155"/>
      <c r="R2" s="154" t="s">
        <v>6</v>
      </c>
      <c r="S2" s="155"/>
      <c r="T2" s="154" t="s">
        <v>246</v>
      </c>
      <c r="U2" s="155"/>
      <c r="V2" s="154" t="s">
        <v>7</v>
      </c>
      <c r="W2" s="155"/>
      <c r="X2" s="154" t="s">
        <v>8</v>
      </c>
      <c r="Y2" s="155"/>
      <c r="Z2" s="154" t="s">
        <v>9</v>
      </c>
      <c r="AA2" s="155"/>
      <c r="AB2" s="154" t="s">
        <v>242</v>
      </c>
      <c r="AC2" s="155"/>
      <c r="AD2" s="154" t="s">
        <v>10</v>
      </c>
      <c r="AE2" s="155"/>
      <c r="AF2" s="154" t="s">
        <v>11</v>
      </c>
      <c r="AG2" s="155"/>
      <c r="AH2" s="154" t="s">
        <v>236</v>
      </c>
      <c r="AI2" s="155"/>
      <c r="AJ2" s="154" t="s">
        <v>245</v>
      </c>
      <c r="AK2" s="155"/>
      <c r="AL2" s="154" t="s">
        <v>12</v>
      </c>
      <c r="AM2" s="155"/>
      <c r="AN2" s="154" t="s">
        <v>237</v>
      </c>
      <c r="AO2" s="155"/>
      <c r="AP2" s="161" t="s">
        <v>238</v>
      </c>
      <c r="AQ2" s="163"/>
      <c r="AR2" s="154" t="s">
        <v>241</v>
      </c>
      <c r="AS2" s="155"/>
      <c r="AT2" s="154" t="s">
        <v>13</v>
      </c>
      <c r="AU2" s="155"/>
      <c r="AV2" s="154" t="s">
        <v>14</v>
      </c>
      <c r="AW2" s="155"/>
      <c r="AX2" s="154" t="s">
        <v>15</v>
      </c>
      <c r="AY2" s="155"/>
      <c r="AZ2" s="154" t="s">
        <v>16</v>
      </c>
      <c r="BA2" s="155"/>
      <c r="BB2" s="154" t="s">
        <v>17</v>
      </c>
      <c r="BC2" s="155"/>
      <c r="BD2" s="154" t="s">
        <v>239</v>
      </c>
      <c r="BE2" s="155"/>
      <c r="BF2" s="154" t="s">
        <v>240</v>
      </c>
      <c r="BG2" s="155"/>
      <c r="BH2" s="154" t="s">
        <v>18</v>
      </c>
      <c r="BI2" s="155"/>
      <c r="BJ2" s="154" t="s">
        <v>19</v>
      </c>
      <c r="BK2" s="155"/>
    </row>
    <row r="3" spans="1:63" ht="30" x14ac:dyDescent="0.25">
      <c r="A3" s="1"/>
      <c r="B3" s="53" t="s">
        <v>300</v>
      </c>
      <c r="C3" s="54" t="s">
        <v>301</v>
      </c>
      <c r="D3" s="53" t="s">
        <v>300</v>
      </c>
      <c r="E3" s="54" t="s">
        <v>301</v>
      </c>
      <c r="F3" s="53" t="s">
        <v>300</v>
      </c>
      <c r="G3" s="54" t="s">
        <v>301</v>
      </c>
      <c r="H3" s="53" t="s">
        <v>300</v>
      </c>
      <c r="I3" s="54" t="s">
        <v>301</v>
      </c>
      <c r="J3" s="53" t="s">
        <v>300</v>
      </c>
      <c r="K3" s="54" t="s">
        <v>301</v>
      </c>
      <c r="L3" s="53" t="s">
        <v>300</v>
      </c>
      <c r="M3" s="54" t="s">
        <v>301</v>
      </c>
      <c r="N3" s="53" t="s">
        <v>300</v>
      </c>
      <c r="O3" s="54" t="s">
        <v>301</v>
      </c>
      <c r="P3" s="53" t="s">
        <v>300</v>
      </c>
      <c r="Q3" s="54" t="s">
        <v>301</v>
      </c>
      <c r="R3" s="53" t="s">
        <v>300</v>
      </c>
      <c r="S3" s="54" t="s">
        <v>301</v>
      </c>
      <c r="T3" s="53" t="s">
        <v>300</v>
      </c>
      <c r="U3" s="54" t="s">
        <v>301</v>
      </c>
      <c r="V3" s="53" t="s">
        <v>300</v>
      </c>
      <c r="W3" s="54" t="s">
        <v>301</v>
      </c>
      <c r="X3" s="53" t="s">
        <v>300</v>
      </c>
      <c r="Y3" s="54" t="s">
        <v>301</v>
      </c>
      <c r="Z3" s="53" t="s">
        <v>300</v>
      </c>
      <c r="AA3" s="54" t="s">
        <v>301</v>
      </c>
      <c r="AB3" s="53" t="s">
        <v>300</v>
      </c>
      <c r="AC3" s="54" t="s">
        <v>301</v>
      </c>
      <c r="AD3" s="53" t="s">
        <v>300</v>
      </c>
      <c r="AE3" s="54" t="s">
        <v>301</v>
      </c>
      <c r="AF3" s="53" t="s">
        <v>300</v>
      </c>
      <c r="AG3" s="54" t="s">
        <v>301</v>
      </c>
      <c r="AH3" s="53" t="s">
        <v>300</v>
      </c>
      <c r="AI3" s="54" t="s">
        <v>301</v>
      </c>
      <c r="AJ3" s="116" t="s">
        <v>300</v>
      </c>
      <c r="AK3" s="117" t="s">
        <v>301</v>
      </c>
      <c r="AL3" s="53" t="s">
        <v>300</v>
      </c>
      <c r="AM3" s="54" t="s">
        <v>301</v>
      </c>
      <c r="AN3" s="53" t="s">
        <v>300</v>
      </c>
      <c r="AO3" s="54" t="s">
        <v>301</v>
      </c>
      <c r="AP3" s="53" t="s">
        <v>300</v>
      </c>
      <c r="AQ3" s="54" t="s">
        <v>301</v>
      </c>
      <c r="AR3" s="53" t="s">
        <v>300</v>
      </c>
      <c r="AS3" s="54" t="s">
        <v>301</v>
      </c>
      <c r="AT3" s="53" t="s">
        <v>300</v>
      </c>
      <c r="AU3" s="54" t="s">
        <v>301</v>
      </c>
      <c r="AV3" s="53" t="s">
        <v>300</v>
      </c>
      <c r="AW3" s="54" t="s">
        <v>301</v>
      </c>
      <c r="AX3" s="53" t="s">
        <v>300</v>
      </c>
      <c r="AY3" s="54" t="s">
        <v>301</v>
      </c>
      <c r="AZ3" s="53" t="s">
        <v>300</v>
      </c>
      <c r="BA3" s="54" t="s">
        <v>301</v>
      </c>
      <c r="BB3" s="53" t="s">
        <v>300</v>
      </c>
      <c r="BC3" s="54" t="s">
        <v>301</v>
      </c>
      <c r="BD3" s="53" t="s">
        <v>300</v>
      </c>
      <c r="BE3" s="54" t="s">
        <v>301</v>
      </c>
      <c r="BF3" s="53" t="s">
        <v>300</v>
      </c>
      <c r="BG3" s="54" t="s">
        <v>301</v>
      </c>
      <c r="BH3" s="53" t="s">
        <v>300</v>
      </c>
      <c r="BI3" s="54" t="s">
        <v>301</v>
      </c>
      <c r="BJ3" s="53" t="s">
        <v>300</v>
      </c>
      <c r="BK3" s="54" t="s">
        <v>301</v>
      </c>
    </row>
    <row r="4" spans="1:63" x14ac:dyDescent="0.25">
      <c r="A4" s="11" t="s">
        <v>123</v>
      </c>
      <c r="B4" s="34">
        <v>0.99719999999999998</v>
      </c>
      <c r="C4" s="34">
        <v>1.3395999999999999</v>
      </c>
      <c r="D4" s="61">
        <v>0.26</v>
      </c>
      <c r="E4" s="61">
        <v>0.33</v>
      </c>
      <c r="F4" s="34">
        <v>0.31630000000000003</v>
      </c>
      <c r="G4" s="34">
        <v>0.15659999999999999</v>
      </c>
      <c r="H4" s="34">
        <v>0.1777</v>
      </c>
      <c r="I4" s="35">
        <v>8.8999999999999996E-2</v>
      </c>
      <c r="J4" s="90">
        <v>0.53</v>
      </c>
      <c r="K4" s="90">
        <v>0.52</v>
      </c>
      <c r="L4" s="34">
        <v>8.8099999999999998E-2</v>
      </c>
      <c r="M4" s="34">
        <v>9.9299999999999999E-2</v>
      </c>
      <c r="N4" s="34">
        <v>6.3600000000000004E-2</v>
      </c>
      <c r="O4" s="34">
        <v>4.1700000000000001E-2</v>
      </c>
      <c r="P4" s="33">
        <v>0.27</v>
      </c>
      <c r="Q4" s="33">
        <v>0.6</v>
      </c>
      <c r="R4" s="33">
        <v>0.14000000000000001</v>
      </c>
      <c r="S4" s="33">
        <v>0.08</v>
      </c>
      <c r="T4" s="34">
        <v>0.96730000000000005</v>
      </c>
      <c r="U4" s="34">
        <v>0.93330000000000002</v>
      </c>
      <c r="V4" s="35">
        <v>0.113</v>
      </c>
      <c r="W4" s="34">
        <v>9.7799999999999998E-2</v>
      </c>
      <c r="X4" s="33">
        <v>0.34</v>
      </c>
      <c r="Y4" s="33">
        <v>0.28000000000000003</v>
      </c>
      <c r="Z4" s="34">
        <v>8.5000000000000006E-2</v>
      </c>
      <c r="AA4" s="34">
        <v>5.0000000000000001E-3</v>
      </c>
      <c r="AB4" s="33">
        <v>0.5</v>
      </c>
      <c r="AC4" s="33">
        <v>0.36</v>
      </c>
      <c r="AD4" s="33">
        <v>0.09</v>
      </c>
      <c r="AE4" s="114">
        <v>0.04</v>
      </c>
      <c r="AF4" s="72">
        <v>0.38600000000000001</v>
      </c>
      <c r="AG4" s="33">
        <v>0.36899999999999999</v>
      </c>
      <c r="AH4" s="33">
        <v>0.3</v>
      </c>
      <c r="AI4" s="33">
        <v>0.31</v>
      </c>
      <c r="AJ4" s="85">
        <v>0.49</v>
      </c>
      <c r="AK4" s="119">
        <v>0.6</v>
      </c>
      <c r="AL4" s="34">
        <v>-0.1736</v>
      </c>
      <c r="AM4" s="34">
        <v>-7.8200000000000006E-2</v>
      </c>
      <c r="AN4" s="33">
        <v>0.27</v>
      </c>
      <c r="AO4" s="33">
        <v>0.02</v>
      </c>
      <c r="AP4" s="35">
        <v>0.13159999999999999</v>
      </c>
      <c r="AQ4" s="35">
        <v>0.38059999999999999</v>
      </c>
      <c r="AR4" s="61">
        <v>0.1</v>
      </c>
      <c r="AS4" s="35">
        <v>0.13200000000000001</v>
      </c>
      <c r="AT4" s="35">
        <v>1.2E-2</v>
      </c>
      <c r="AU4" s="35">
        <v>1.6E-2</v>
      </c>
      <c r="AV4" s="34">
        <v>7.0199999999999999E-2</v>
      </c>
      <c r="AW4" s="34">
        <v>0.1091</v>
      </c>
      <c r="AX4" s="34">
        <v>-0.16619999999999999</v>
      </c>
      <c r="AY4" s="34">
        <v>-0.1804</v>
      </c>
      <c r="AZ4" s="34">
        <v>0.13100000000000001</v>
      </c>
      <c r="BA4" s="34">
        <v>0.221</v>
      </c>
      <c r="BB4" s="33">
        <v>0.53</v>
      </c>
      <c r="BC4" s="33">
        <v>0.25</v>
      </c>
      <c r="BD4" s="90">
        <v>-1.53</v>
      </c>
      <c r="BE4" s="90">
        <v>12.48</v>
      </c>
      <c r="BF4" s="90">
        <v>2.79</v>
      </c>
      <c r="BG4" s="90">
        <v>9.99</v>
      </c>
      <c r="BH4" s="90">
        <v>-1.94</v>
      </c>
      <c r="BI4" s="90">
        <v>-5.88</v>
      </c>
      <c r="BJ4" s="34">
        <v>7.6999999999999999E-2</v>
      </c>
      <c r="BK4" s="34">
        <v>0.13239999999999999</v>
      </c>
    </row>
    <row r="5" spans="1:63" ht="15" customHeight="1" x14ac:dyDescent="0.25">
      <c r="A5" s="11" t="s">
        <v>124</v>
      </c>
      <c r="B5" s="30">
        <v>0.95</v>
      </c>
      <c r="C5" s="30">
        <v>3.33</v>
      </c>
      <c r="D5" s="61">
        <v>1.07</v>
      </c>
      <c r="E5" s="61">
        <v>3.31</v>
      </c>
      <c r="F5" s="36">
        <v>0.76</v>
      </c>
      <c r="G5" s="36">
        <v>2.59</v>
      </c>
      <c r="H5" s="30">
        <v>0.39</v>
      </c>
      <c r="I5" s="30">
        <v>1.64</v>
      </c>
      <c r="J5" s="90">
        <v>1.02</v>
      </c>
      <c r="K5" s="90">
        <v>3.21</v>
      </c>
      <c r="L5" s="90">
        <v>0.7</v>
      </c>
      <c r="M5" s="90">
        <v>2.46</v>
      </c>
      <c r="N5" s="90">
        <v>0.14000000000000001</v>
      </c>
      <c r="O5" s="90">
        <v>0.14000000000000001</v>
      </c>
      <c r="P5" s="30">
        <v>0.66</v>
      </c>
      <c r="Q5" s="30">
        <v>2.82</v>
      </c>
      <c r="R5" s="30">
        <v>1</v>
      </c>
      <c r="S5" s="30">
        <v>3.34</v>
      </c>
      <c r="T5" s="30">
        <v>0.81</v>
      </c>
      <c r="U5" s="30">
        <v>2.5</v>
      </c>
      <c r="V5" s="90">
        <v>1.23</v>
      </c>
      <c r="W5" s="90">
        <v>4.2</v>
      </c>
      <c r="X5" s="30">
        <v>0.51</v>
      </c>
      <c r="Y5" s="30">
        <v>1.97</v>
      </c>
      <c r="Z5" s="30"/>
      <c r="AA5" s="90">
        <v>2.61</v>
      </c>
      <c r="AB5" s="30">
        <v>1.04</v>
      </c>
      <c r="AC5" s="30">
        <v>3.18</v>
      </c>
      <c r="AD5" s="30">
        <v>0.51</v>
      </c>
      <c r="AE5" s="30">
        <v>1.76</v>
      </c>
      <c r="AF5" s="90">
        <v>1.45</v>
      </c>
      <c r="AG5" s="90">
        <v>4.26</v>
      </c>
      <c r="AH5" s="85">
        <v>1.41</v>
      </c>
      <c r="AI5" s="85">
        <v>4.68</v>
      </c>
      <c r="AJ5" s="85" t="s">
        <v>315</v>
      </c>
      <c r="AK5" s="85" t="s">
        <v>320</v>
      </c>
      <c r="AL5" s="90">
        <v>1.1000000000000001</v>
      </c>
      <c r="AM5" s="90">
        <v>4.75</v>
      </c>
      <c r="AN5" s="30">
        <v>0.21</v>
      </c>
      <c r="AO5" s="30">
        <v>0.55000000000000004</v>
      </c>
      <c r="AP5" s="90">
        <v>0.51</v>
      </c>
      <c r="AQ5" s="90">
        <v>1.85</v>
      </c>
      <c r="AR5" s="30">
        <v>0.96</v>
      </c>
      <c r="AS5" s="30">
        <v>4.09</v>
      </c>
      <c r="AT5" s="30">
        <v>0.55000000000000004</v>
      </c>
      <c r="AU5" s="30">
        <v>1.96</v>
      </c>
      <c r="AV5" s="30">
        <v>1.1100000000000001</v>
      </c>
      <c r="AW5" s="30">
        <v>3.19</v>
      </c>
      <c r="AX5" s="34">
        <v>0.2054</v>
      </c>
      <c r="AY5" s="34">
        <v>0.74360000000000004</v>
      </c>
      <c r="AZ5" s="30">
        <v>0.82</v>
      </c>
      <c r="BA5" s="30">
        <v>2.54</v>
      </c>
      <c r="BB5" s="30">
        <v>0.89</v>
      </c>
      <c r="BC5" s="30">
        <v>2.92</v>
      </c>
      <c r="BD5" s="90">
        <v>0.47</v>
      </c>
      <c r="BE5" s="90">
        <v>1.95</v>
      </c>
      <c r="BF5" s="30">
        <v>8.9600000000000009</v>
      </c>
      <c r="BG5" s="30">
        <v>26.75</v>
      </c>
      <c r="BH5" s="90">
        <v>2.25</v>
      </c>
      <c r="BI5" s="90">
        <v>7.5</v>
      </c>
      <c r="BJ5" s="30">
        <v>0.83</v>
      </c>
      <c r="BK5" s="30">
        <v>3.06</v>
      </c>
    </row>
    <row r="6" spans="1:63" x14ac:dyDescent="0.25">
      <c r="A6" s="11" t="s">
        <v>125</v>
      </c>
      <c r="B6" s="33">
        <v>1.3672</v>
      </c>
      <c r="C6" s="33">
        <v>1.2961</v>
      </c>
      <c r="D6" s="61">
        <v>0.32</v>
      </c>
      <c r="E6" s="61">
        <v>0.32</v>
      </c>
      <c r="F6" s="35">
        <v>0.1593</v>
      </c>
      <c r="G6" s="35">
        <v>0.1593</v>
      </c>
      <c r="H6" s="34">
        <v>0.1704</v>
      </c>
      <c r="I6" s="34">
        <v>0.1704</v>
      </c>
      <c r="J6" s="90">
        <v>0.18</v>
      </c>
      <c r="K6" s="90">
        <v>0.16</v>
      </c>
      <c r="L6" s="34">
        <v>4.0899999999999999E-2</v>
      </c>
      <c r="M6" s="34">
        <v>4.0899999999999999E-2</v>
      </c>
      <c r="N6" s="34">
        <v>0.23180000000000001</v>
      </c>
      <c r="O6" s="34">
        <v>0.23180000000000001</v>
      </c>
      <c r="P6" s="33">
        <v>0.02</v>
      </c>
      <c r="Q6" s="33">
        <v>0.1</v>
      </c>
      <c r="R6" s="33">
        <v>0.11</v>
      </c>
      <c r="S6" s="33">
        <v>0.11</v>
      </c>
      <c r="T6" s="34">
        <v>0.64539999999999997</v>
      </c>
      <c r="U6" s="34">
        <v>0.64539999999999997</v>
      </c>
      <c r="V6" s="34">
        <v>9.74E-2</v>
      </c>
      <c r="W6" s="34">
        <v>9.74E-2</v>
      </c>
      <c r="X6" s="33">
        <v>0.23</v>
      </c>
      <c r="Y6" s="33">
        <v>0.23</v>
      </c>
      <c r="Z6" s="33"/>
      <c r="AA6" s="34">
        <v>0.16500000000000001</v>
      </c>
      <c r="AB6" s="33">
        <v>0.22</v>
      </c>
      <c r="AC6" s="61">
        <v>0.22</v>
      </c>
      <c r="AD6" s="90">
        <v>0.04</v>
      </c>
      <c r="AE6" s="90">
        <v>0.04</v>
      </c>
      <c r="AF6" s="33">
        <v>-3.1E-2</v>
      </c>
      <c r="AG6" s="33">
        <v>-3.1E-2</v>
      </c>
      <c r="AH6" s="33">
        <v>-0.21</v>
      </c>
      <c r="AI6" s="33">
        <v>-0.21</v>
      </c>
      <c r="AJ6" s="119">
        <v>-0.12</v>
      </c>
      <c r="AK6" s="119">
        <v>-0.12</v>
      </c>
      <c r="AL6" s="34">
        <v>3.2208999999999999</v>
      </c>
      <c r="AM6" s="34">
        <v>3.7915999999999999</v>
      </c>
      <c r="AN6" s="33">
        <v>-0.24</v>
      </c>
      <c r="AO6" s="33">
        <v>-0.24</v>
      </c>
      <c r="AP6" s="35">
        <v>-5.2900000000000003E-2</v>
      </c>
      <c r="AQ6" s="35">
        <v>-5.2900000000000003E-2</v>
      </c>
      <c r="AR6" s="61">
        <v>0.12</v>
      </c>
      <c r="AS6" s="139">
        <v>0.12</v>
      </c>
      <c r="AT6" s="61">
        <v>9.9000000000000005E-2</v>
      </c>
      <c r="AU6" s="61">
        <v>9.9000000000000005E-2</v>
      </c>
      <c r="AV6" s="34">
        <v>5.0299999999999997E-2</v>
      </c>
      <c r="AW6" s="34">
        <v>5.0299999999999997E-2</v>
      </c>
      <c r="AX6" s="34">
        <v>0.13500000000000001</v>
      </c>
      <c r="AY6" s="34">
        <v>0.13500000000000001</v>
      </c>
      <c r="AZ6" s="34">
        <v>0.29530000000000001</v>
      </c>
      <c r="BA6" s="34">
        <v>0.29530000000000001</v>
      </c>
      <c r="BB6" s="33">
        <v>0.03</v>
      </c>
      <c r="BC6" s="33">
        <v>0.15</v>
      </c>
      <c r="BD6" s="34">
        <v>2.5099999999999998</v>
      </c>
      <c r="BE6" s="34">
        <v>2.5099999999999998</v>
      </c>
      <c r="BF6" s="30">
        <v>-3.32</v>
      </c>
      <c r="BG6" s="30">
        <v>-3.32</v>
      </c>
      <c r="BH6" s="90">
        <v>-49.27</v>
      </c>
      <c r="BI6" s="90">
        <v>-49.27</v>
      </c>
      <c r="BJ6" s="34">
        <v>0.11210000000000001</v>
      </c>
      <c r="BK6" s="34">
        <v>0.11210000000000001</v>
      </c>
    </row>
    <row r="7" spans="1:63" x14ac:dyDescent="0.25">
      <c r="A7" s="11" t="s">
        <v>126</v>
      </c>
      <c r="B7" s="34">
        <v>0.59830000000000005</v>
      </c>
      <c r="C7" s="34">
        <v>0.59670000000000001</v>
      </c>
      <c r="D7" s="61">
        <v>0.79</v>
      </c>
      <c r="E7" s="33">
        <v>0.78</v>
      </c>
      <c r="F7" s="34">
        <v>0.51149999999999995</v>
      </c>
      <c r="G7" s="34">
        <v>0.49590000000000001</v>
      </c>
      <c r="H7" s="34">
        <v>0.62809999999999999</v>
      </c>
      <c r="I7" s="34">
        <v>0.56299999999999994</v>
      </c>
      <c r="J7" s="90">
        <v>0.73</v>
      </c>
      <c r="K7" s="90">
        <v>0.78</v>
      </c>
      <c r="L7" s="34">
        <v>0.75509999999999999</v>
      </c>
      <c r="M7" s="34">
        <v>0.73599999999999999</v>
      </c>
      <c r="N7" s="34">
        <v>0.85019999999999996</v>
      </c>
      <c r="O7" s="34">
        <v>0.81510000000000005</v>
      </c>
      <c r="P7" s="33">
        <v>0.56000000000000005</v>
      </c>
      <c r="Q7" s="33">
        <v>0.69</v>
      </c>
      <c r="R7" s="33">
        <v>0.66</v>
      </c>
      <c r="S7" s="33">
        <v>0.63</v>
      </c>
      <c r="T7" s="34">
        <v>0.80800000000000005</v>
      </c>
      <c r="U7" s="35">
        <v>0.79349999999999998</v>
      </c>
      <c r="V7" s="34">
        <v>0.54630000000000001</v>
      </c>
      <c r="W7" s="34">
        <v>0.51849999999999996</v>
      </c>
      <c r="X7" s="33">
        <v>0.79</v>
      </c>
      <c r="Y7" s="33">
        <v>0.73</v>
      </c>
      <c r="Z7" s="34">
        <v>0.70669999999999999</v>
      </c>
      <c r="AA7" s="34">
        <v>0.68430000000000002</v>
      </c>
      <c r="AB7" s="33">
        <v>0.77</v>
      </c>
      <c r="AC7" s="33">
        <v>0.77</v>
      </c>
      <c r="AD7" s="33">
        <v>0.88</v>
      </c>
      <c r="AE7" s="33">
        <v>0.85</v>
      </c>
      <c r="AF7" s="72">
        <v>0.58099999999999996</v>
      </c>
      <c r="AG7" s="72">
        <v>0.61799999999999999</v>
      </c>
      <c r="AH7" s="33">
        <v>0.95</v>
      </c>
      <c r="AI7" s="33">
        <v>0.95</v>
      </c>
      <c r="AJ7" s="119">
        <v>0.77</v>
      </c>
      <c r="AK7" s="119">
        <v>0.77</v>
      </c>
      <c r="AL7" s="34">
        <v>0.87460000000000004</v>
      </c>
      <c r="AM7" s="34">
        <v>0.88619999999999999</v>
      </c>
      <c r="AN7" s="33">
        <v>0.89</v>
      </c>
      <c r="AO7" s="33">
        <v>0.87</v>
      </c>
      <c r="AP7" s="35">
        <v>0.85109999999999997</v>
      </c>
      <c r="AQ7" s="35">
        <v>0.82940000000000003</v>
      </c>
      <c r="AR7" s="61">
        <v>0.63</v>
      </c>
      <c r="AS7" s="139">
        <v>0.57699999999999996</v>
      </c>
      <c r="AT7" s="114">
        <v>0.78</v>
      </c>
      <c r="AU7" s="35">
        <v>0.73899999999999999</v>
      </c>
      <c r="AV7" s="34">
        <v>0.51019999999999999</v>
      </c>
      <c r="AW7" s="34">
        <v>0.47520000000000001</v>
      </c>
      <c r="AX7" s="34">
        <v>0.91410000000000002</v>
      </c>
      <c r="AY7" s="34">
        <v>0.91369999999999996</v>
      </c>
      <c r="AZ7" s="34">
        <v>0.94159999999999999</v>
      </c>
      <c r="BA7" s="34">
        <v>0.94299999999999995</v>
      </c>
      <c r="BB7" s="33">
        <v>0.73</v>
      </c>
      <c r="BC7" s="33">
        <v>0.7</v>
      </c>
      <c r="BD7" s="90">
        <v>87.63</v>
      </c>
      <c r="BE7" s="90">
        <v>80.790000000000006</v>
      </c>
      <c r="BF7" s="30">
        <v>86.54</v>
      </c>
      <c r="BG7" s="30">
        <v>84.21</v>
      </c>
      <c r="BH7" s="90">
        <v>83.97</v>
      </c>
      <c r="BI7" s="90">
        <v>83.72</v>
      </c>
      <c r="BJ7" s="34">
        <v>0.50419999999999998</v>
      </c>
      <c r="BK7" s="34">
        <v>0.46229999999999999</v>
      </c>
    </row>
    <row r="8" spans="1:63" x14ac:dyDescent="0.25">
      <c r="A8" s="11" t="s">
        <v>127</v>
      </c>
      <c r="B8" s="34">
        <v>-0.1033</v>
      </c>
      <c r="C8" s="34">
        <v>-6.1499999999999999E-2</v>
      </c>
      <c r="D8" s="61">
        <v>0</v>
      </c>
      <c r="E8" s="33">
        <v>0.01</v>
      </c>
      <c r="F8" s="34">
        <v>-2.69E-2</v>
      </c>
      <c r="G8" s="34">
        <v>-2.9399999999999999E-2</v>
      </c>
      <c r="H8" s="34">
        <v>4.7999999999999996E-3</v>
      </c>
      <c r="I8" s="34">
        <v>-1.21E-2</v>
      </c>
      <c r="J8" s="90">
        <v>0.05</v>
      </c>
      <c r="K8" s="90">
        <v>0.04</v>
      </c>
      <c r="L8" s="34">
        <v>3.5700000000000003E-2</v>
      </c>
      <c r="M8" s="34">
        <v>3.4200000000000001E-2</v>
      </c>
      <c r="N8" s="34">
        <v>-5.2699999999999997E-2</v>
      </c>
      <c r="O8" s="34">
        <v>-3.4799999999999998E-2</v>
      </c>
      <c r="P8" s="33">
        <v>-0.01</v>
      </c>
      <c r="Q8" s="33">
        <v>0.02</v>
      </c>
      <c r="R8" s="33">
        <v>0.04</v>
      </c>
      <c r="S8" s="34">
        <v>1.35E-2</v>
      </c>
      <c r="T8" s="34">
        <v>3.56E-2</v>
      </c>
      <c r="U8" s="35">
        <v>3.8100000000000002E-2</v>
      </c>
      <c r="V8" s="34">
        <v>-2.2700000000000001E-2</v>
      </c>
      <c r="W8" s="34">
        <v>-3.9E-2</v>
      </c>
      <c r="X8" s="33">
        <v>0.04</v>
      </c>
      <c r="Y8" s="33">
        <v>0.05</v>
      </c>
      <c r="Z8" s="34">
        <v>7.4099999999999999E-2</v>
      </c>
      <c r="AA8" s="34">
        <v>6.3899999999999998E-2</v>
      </c>
      <c r="AB8" s="33">
        <v>0.04</v>
      </c>
      <c r="AC8" s="33">
        <v>0.04</v>
      </c>
      <c r="AD8" s="33">
        <v>7.0000000000000007E-2</v>
      </c>
      <c r="AE8" s="33">
        <v>0.09</v>
      </c>
      <c r="AF8" s="72">
        <v>-1.2999999999999999E-2</v>
      </c>
      <c r="AG8" s="72">
        <v>-1.9E-2</v>
      </c>
      <c r="AH8" s="33">
        <v>0.11</v>
      </c>
      <c r="AI8" s="33">
        <v>0.11</v>
      </c>
      <c r="AJ8" s="119">
        <v>0.1</v>
      </c>
      <c r="AK8" s="119">
        <v>0.06</v>
      </c>
      <c r="AL8" s="34">
        <v>7.4300000000000005E-2</v>
      </c>
      <c r="AM8" s="34">
        <v>6.8500000000000005E-2</v>
      </c>
      <c r="AN8" s="33">
        <v>0.01</v>
      </c>
      <c r="AO8" s="33">
        <v>0.04</v>
      </c>
      <c r="AP8" s="35">
        <v>0.1358</v>
      </c>
      <c r="AQ8" s="35">
        <v>0.13730000000000001</v>
      </c>
      <c r="AR8" s="61">
        <v>-0.09</v>
      </c>
      <c r="AS8" s="139">
        <v>-2.7E-2</v>
      </c>
      <c r="AT8" s="35">
        <v>7.3999999999999996E-2</v>
      </c>
      <c r="AU8" s="114">
        <v>7.0999999999999994E-2</v>
      </c>
      <c r="AV8" s="34">
        <v>2.2000000000000001E-3</v>
      </c>
      <c r="AW8" s="34">
        <v>-2.47E-2</v>
      </c>
      <c r="AX8" s="34">
        <v>5.28E-2</v>
      </c>
      <c r="AY8" s="34">
        <v>5.3999999999999999E-2</v>
      </c>
      <c r="AZ8" s="34">
        <v>0.14599999999999999</v>
      </c>
      <c r="BA8" s="34">
        <v>0.13800000000000001</v>
      </c>
      <c r="BB8" s="33">
        <v>0.04</v>
      </c>
      <c r="BC8" s="33">
        <v>0.03</v>
      </c>
      <c r="BD8" s="90">
        <v>8.59</v>
      </c>
      <c r="BE8" s="90">
        <v>7.7</v>
      </c>
      <c r="BF8" s="30">
        <v>8.3800000000000008</v>
      </c>
      <c r="BG8" s="30">
        <v>7.53</v>
      </c>
      <c r="BH8" s="90">
        <v>5.08</v>
      </c>
      <c r="BI8" s="90">
        <v>6.72</v>
      </c>
      <c r="BJ8" s="34">
        <v>3.0800000000000001E-2</v>
      </c>
      <c r="BK8" s="34">
        <v>4.1500000000000002E-2</v>
      </c>
    </row>
    <row r="9" spans="1:63" ht="30" x14ac:dyDescent="0.25">
      <c r="A9" s="11" t="s">
        <v>128</v>
      </c>
      <c r="B9" s="34">
        <v>0.44019999999999998</v>
      </c>
      <c r="C9" s="34">
        <v>0.496</v>
      </c>
      <c r="D9" s="61">
        <v>0.55000000000000004</v>
      </c>
      <c r="E9" s="33">
        <v>0.55000000000000004</v>
      </c>
      <c r="F9" s="34">
        <v>5.0700000000000002E-2</v>
      </c>
      <c r="G9" s="34">
        <v>3.49E-2</v>
      </c>
      <c r="H9" s="34">
        <v>0.26019999999999999</v>
      </c>
      <c r="I9" s="34">
        <v>0.2215</v>
      </c>
      <c r="J9" s="90">
        <v>0.4</v>
      </c>
      <c r="K9" s="90">
        <v>0.4</v>
      </c>
      <c r="L9" s="34">
        <v>0.3644</v>
      </c>
      <c r="M9" s="34">
        <v>0.37959999999999999</v>
      </c>
      <c r="N9" s="34">
        <v>0.2555</v>
      </c>
      <c r="O9" s="34">
        <v>0.27739999999999998</v>
      </c>
      <c r="P9" s="33">
        <v>0.57999999999999996</v>
      </c>
      <c r="Q9" s="33">
        <v>0.49</v>
      </c>
      <c r="R9" s="33">
        <v>0.28999999999999998</v>
      </c>
      <c r="S9" s="33">
        <v>0.3</v>
      </c>
      <c r="T9" s="35">
        <v>0.38429999999999997</v>
      </c>
      <c r="U9" s="35">
        <v>0.36830000000000002</v>
      </c>
      <c r="V9" s="34">
        <v>0.21129999999999999</v>
      </c>
      <c r="W9" s="34">
        <v>0.22869999999999999</v>
      </c>
      <c r="X9" s="33">
        <v>0.31</v>
      </c>
      <c r="Y9" s="33">
        <v>0.3</v>
      </c>
      <c r="Z9" s="34">
        <v>0.19789999999999999</v>
      </c>
      <c r="AA9" s="34">
        <v>0.19359999999999999</v>
      </c>
      <c r="AB9" s="33">
        <v>0.43</v>
      </c>
      <c r="AC9" s="33">
        <v>0.4</v>
      </c>
      <c r="AD9" s="33">
        <v>0.35</v>
      </c>
      <c r="AE9" s="33">
        <v>0.43</v>
      </c>
      <c r="AF9" s="72">
        <v>0.36</v>
      </c>
      <c r="AG9" s="72">
        <v>0.39400000000000002</v>
      </c>
      <c r="AH9" s="33">
        <v>0.49</v>
      </c>
      <c r="AI9" s="33">
        <v>0.51</v>
      </c>
      <c r="AJ9" s="85">
        <v>0.45</v>
      </c>
      <c r="AK9" s="85">
        <v>0.42</v>
      </c>
      <c r="AL9" s="34">
        <v>0.39939999999999998</v>
      </c>
      <c r="AM9" s="34">
        <v>0.28699999999999998</v>
      </c>
      <c r="AN9" s="33">
        <v>0.68</v>
      </c>
      <c r="AO9" s="33">
        <v>1.31</v>
      </c>
      <c r="AP9" s="35">
        <v>0.5111</v>
      </c>
      <c r="AQ9" s="35">
        <v>0.53580000000000005</v>
      </c>
      <c r="AR9" s="61">
        <v>0.31</v>
      </c>
      <c r="AS9" s="114">
        <v>0.25</v>
      </c>
      <c r="AT9" s="35">
        <v>0.309</v>
      </c>
      <c r="AU9" s="35">
        <v>0.29799999999999999</v>
      </c>
      <c r="AV9" s="34">
        <v>0.1895</v>
      </c>
      <c r="AW9" s="34">
        <v>0.21579999999999999</v>
      </c>
      <c r="AX9" s="34">
        <v>0.38929999999999998</v>
      </c>
      <c r="AY9" s="34">
        <v>0.32640000000000002</v>
      </c>
      <c r="AZ9" s="34">
        <v>0.30170000000000002</v>
      </c>
      <c r="BA9" s="34">
        <v>0.30120000000000002</v>
      </c>
      <c r="BB9" s="33">
        <v>0.28999999999999998</v>
      </c>
      <c r="BC9" s="33">
        <v>0.31</v>
      </c>
      <c r="BD9" s="90">
        <v>22.81</v>
      </c>
      <c r="BE9" s="90">
        <v>18.95</v>
      </c>
      <c r="BF9" s="30">
        <v>40.17</v>
      </c>
      <c r="BG9" s="30">
        <v>30.07</v>
      </c>
      <c r="BH9" s="90">
        <v>38.92</v>
      </c>
      <c r="BI9" s="90">
        <v>33.06</v>
      </c>
      <c r="BJ9" s="34">
        <v>0.1565</v>
      </c>
      <c r="BK9" s="34">
        <v>0.1623</v>
      </c>
    </row>
    <row r="10" spans="1:63" ht="30" x14ac:dyDescent="0.25">
      <c r="A10" s="11" t="s">
        <v>129</v>
      </c>
      <c r="B10" s="34">
        <v>0.59940000000000004</v>
      </c>
      <c r="C10" s="34">
        <v>0.73350000000000004</v>
      </c>
      <c r="D10" s="61">
        <v>0.55000000000000004</v>
      </c>
      <c r="E10" s="33">
        <v>0.56000000000000005</v>
      </c>
      <c r="F10" s="34">
        <v>5.3600000000000002E-2</v>
      </c>
      <c r="G10" s="34">
        <v>2.98E-2</v>
      </c>
      <c r="H10" s="34">
        <v>0.29520000000000002</v>
      </c>
      <c r="I10" s="34">
        <v>0.26669999999999999</v>
      </c>
      <c r="J10" s="90">
        <v>0.42</v>
      </c>
      <c r="K10" s="90">
        <v>0.38</v>
      </c>
      <c r="L10" s="34">
        <v>0.38500000000000001</v>
      </c>
      <c r="M10" s="34">
        <v>0.40699999999999997</v>
      </c>
      <c r="N10" s="34">
        <v>0.30049999999999999</v>
      </c>
      <c r="O10" s="34">
        <v>0.34029999999999999</v>
      </c>
      <c r="P10" s="33">
        <v>0.86</v>
      </c>
      <c r="Q10" s="33">
        <v>0.59</v>
      </c>
      <c r="R10" s="33">
        <v>0.44</v>
      </c>
      <c r="S10" s="33">
        <v>0.48</v>
      </c>
      <c r="T10" s="35">
        <v>0.41689999999999999</v>
      </c>
      <c r="U10" s="35">
        <v>0.38640000000000002</v>
      </c>
      <c r="V10" s="34">
        <v>0.2016</v>
      </c>
      <c r="W10" s="34">
        <v>0.23430000000000001</v>
      </c>
      <c r="X10" s="33">
        <v>0.37</v>
      </c>
      <c r="Y10" s="33">
        <v>0.4</v>
      </c>
      <c r="Z10" s="34">
        <v>0.2319</v>
      </c>
      <c r="AA10" s="34">
        <v>0.22420000000000001</v>
      </c>
      <c r="AB10" s="33">
        <v>0.48</v>
      </c>
      <c r="AC10" s="33">
        <v>0.45</v>
      </c>
      <c r="AD10" s="33">
        <v>0.35</v>
      </c>
      <c r="AE10" s="33">
        <v>0.5</v>
      </c>
      <c r="AF10" s="33">
        <v>0.48399999999999999</v>
      </c>
      <c r="AG10" s="72">
        <v>0.48899999999999999</v>
      </c>
      <c r="AH10" s="33">
        <v>0.51</v>
      </c>
      <c r="AI10" s="33">
        <v>0.53</v>
      </c>
      <c r="AJ10" s="85">
        <v>0.59</v>
      </c>
      <c r="AK10" s="85">
        <v>0.55000000000000004</v>
      </c>
      <c r="AL10" s="34">
        <v>0.39360000000000001</v>
      </c>
      <c r="AM10" s="34">
        <v>0.29949999999999999</v>
      </c>
      <c r="AN10" s="33">
        <v>0.76</v>
      </c>
      <c r="AO10" s="33">
        <v>1.44</v>
      </c>
      <c r="AP10" s="35">
        <v>0.56730000000000003</v>
      </c>
      <c r="AQ10" s="35">
        <v>0.60199999999999998</v>
      </c>
      <c r="AR10" s="61">
        <v>0.3</v>
      </c>
      <c r="AS10" s="139">
        <v>0.307</v>
      </c>
      <c r="AT10" s="35">
        <v>0.33600000000000002</v>
      </c>
      <c r="AU10" s="35">
        <v>0.32500000000000001</v>
      </c>
      <c r="AV10" s="34">
        <v>0.2419</v>
      </c>
      <c r="AW10" s="34">
        <v>0.27400000000000002</v>
      </c>
      <c r="AX10" s="34">
        <v>0.42280000000000001</v>
      </c>
      <c r="AY10" s="34">
        <v>0.35470000000000002</v>
      </c>
      <c r="AZ10" s="34">
        <v>0.30330000000000001</v>
      </c>
      <c r="BA10" s="34">
        <v>0.30809999999999998</v>
      </c>
      <c r="BB10" s="33">
        <v>0.3</v>
      </c>
      <c r="BC10" s="33">
        <v>0.33</v>
      </c>
      <c r="BD10" s="90">
        <v>24.79</v>
      </c>
      <c r="BE10" s="90">
        <v>22.61</v>
      </c>
      <c r="BF10" s="30">
        <v>44.05</v>
      </c>
      <c r="BG10" s="30">
        <v>34.270000000000003</v>
      </c>
      <c r="BH10" s="90">
        <v>43.54</v>
      </c>
      <c r="BI10" s="90">
        <v>37.53</v>
      </c>
      <c r="BJ10" s="34">
        <v>0.21160000000000001</v>
      </c>
      <c r="BK10" s="34">
        <v>0.24660000000000001</v>
      </c>
    </row>
    <row r="11" spans="1:63" ht="15" customHeight="1" x14ac:dyDescent="0.25">
      <c r="A11" s="11" t="s">
        <v>130</v>
      </c>
      <c r="B11" s="34">
        <v>0.80610000000000004</v>
      </c>
      <c r="C11" s="34">
        <v>0.97829999999999995</v>
      </c>
      <c r="D11" s="61">
        <v>0.53</v>
      </c>
      <c r="E11" s="33">
        <v>0.7</v>
      </c>
      <c r="F11" s="34">
        <v>0.82799999999999996</v>
      </c>
      <c r="G11" s="34">
        <v>0.96409999999999996</v>
      </c>
      <c r="H11" s="34">
        <v>0.68789999999999996</v>
      </c>
      <c r="I11" s="34">
        <v>0.72960000000000003</v>
      </c>
      <c r="J11" s="90">
        <v>0.43</v>
      </c>
      <c r="K11" s="90">
        <v>0.65</v>
      </c>
      <c r="L11" s="34">
        <v>0.67059999999999997</v>
      </c>
      <c r="M11" s="34">
        <v>0.70289999999999997</v>
      </c>
      <c r="N11" s="34">
        <v>-0.33250000000000002</v>
      </c>
      <c r="O11" s="34">
        <v>0.61919999999999997</v>
      </c>
      <c r="P11" s="33">
        <v>0.87</v>
      </c>
      <c r="Q11" s="33">
        <v>0.98</v>
      </c>
      <c r="R11" s="33">
        <v>0.62</v>
      </c>
      <c r="S11" s="33">
        <v>0.69</v>
      </c>
      <c r="T11" s="35">
        <v>0.68369999999999997</v>
      </c>
      <c r="U11" s="35">
        <v>0.74019999999999997</v>
      </c>
      <c r="V11" s="34">
        <v>0.78690000000000004</v>
      </c>
      <c r="W11" s="34">
        <v>0.84040000000000004</v>
      </c>
      <c r="X11" s="33">
        <v>0.72</v>
      </c>
      <c r="Y11" s="33">
        <v>0.75</v>
      </c>
      <c r="Z11" s="34">
        <v>0.94689999999999996</v>
      </c>
      <c r="AA11" s="34">
        <v>0.94099999999999995</v>
      </c>
      <c r="AB11" s="33">
        <v>0.79</v>
      </c>
      <c r="AC11" s="33">
        <v>0.77</v>
      </c>
      <c r="AD11" s="33">
        <v>0.7</v>
      </c>
      <c r="AE11" s="33">
        <v>0.67</v>
      </c>
      <c r="AF11" s="33">
        <v>0.65300000000000002</v>
      </c>
      <c r="AG11" s="72">
        <v>0.68700000000000006</v>
      </c>
      <c r="AH11" s="33">
        <v>0.56999999999999995</v>
      </c>
      <c r="AI11" s="33">
        <v>0.76</v>
      </c>
      <c r="AJ11" s="85">
        <v>0.49</v>
      </c>
      <c r="AK11" s="85">
        <v>0.62</v>
      </c>
      <c r="AL11" s="34">
        <v>1.1164000000000001</v>
      </c>
      <c r="AM11" s="34">
        <v>1.0421</v>
      </c>
      <c r="AN11" s="33">
        <v>0.78</v>
      </c>
      <c r="AO11" s="33">
        <v>0.66</v>
      </c>
      <c r="AP11" s="35">
        <v>0.71120000000000005</v>
      </c>
      <c r="AQ11" s="35">
        <v>0.81210000000000004</v>
      </c>
      <c r="AR11" s="61">
        <v>0.77</v>
      </c>
      <c r="AS11" s="139">
        <v>0.77500000000000002</v>
      </c>
      <c r="AT11" s="35">
        <v>0.80500000000000005</v>
      </c>
      <c r="AU11" s="35">
        <v>0.84199999999999997</v>
      </c>
      <c r="AV11" s="34">
        <v>0.78979999999999995</v>
      </c>
      <c r="AW11" s="34">
        <v>0.86309999999999998</v>
      </c>
      <c r="AX11" s="34">
        <v>0.72350000000000003</v>
      </c>
      <c r="AY11" s="34">
        <v>0.72350000000000003</v>
      </c>
      <c r="AZ11" s="34">
        <v>0.68089999999999995</v>
      </c>
      <c r="BA11" s="34">
        <v>0.87060000000000004</v>
      </c>
      <c r="BB11" s="33">
        <v>0.69</v>
      </c>
      <c r="BC11" s="33">
        <v>0.75</v>
      </c>
      <c r="BD11" s="90">
        <v>99.4</v>
      </c>
      <c r="BE11" s="90">
        <v>99.46</v>
      </c>
      <c r="BF11" s="30">
        <v>109.68</v>
      </c>
      <c r="BG11" s="30">
        <v>110.8</v>
      </c>
      <c r="BH11" s="90">
        <v>100.5</v>
      </c>
      <c r="BI11" s="90">
        <v>98.57</v>
      </c>
      <c r="BJ11" s="34">
        <v>0.84309999999999996</v>
      </c>
      <c r="BK11" s="34">
        <v>0.77769999999999995</v>
      </c>
    </row>
    <row r="12" spans="1:63" ht="15" customHeight="1" x14ac:dyDescent="0.25">
      <c r="A12" s="11" t="s">
        <v>266</v>
      </c>
      <c r="B12" s="34">
        <v>0.19409999999999999</v>
      </c>
      <c r="C12" s="34">
        <v>0.1386</v>
      </c>
      <c r="D12" s="61">
        <v>0.75</v>
      </c>
      <c r="E12" s="33">
        <v>0.71</v>
      </c>
      <c r="F12" s="34">
        <v>0.58450000000000002</v>
      </c>
      <c r="G12" s="34">
        <v>0.81899999999999995</v>
      </c>
      <c r="H12" s="34">
        <v>0.1515</v>
      </c>
      <c r="I12" s="34">
        <v>0.2676</v>
      </c>
      <c r="J12" s="90">
        <v>0.88</v>
      </c>
      <c r="K12" s="90">
        <v>0.97</v>
      </c>
      <c r="L12" s="34">
        <v>9.7600000000000006E-2</v>
      </c>
      <c r="M12" s="34">
        <v>0.34839999999999999</v>
      </c>
      <c r="N12" s="34">
        <v>5.1200000000000002E-2</v>
      </c>
      <c r="O12" s="34">
        <v>9.98E-2</v>
      </c>
      <c r="P12" s="33">
        <v>0.64</v>
      </c>
      <c r="Q12" s="33">
        <v>0.69</v>
      </c>
      <c r="R12" s="33">
        <v>0.16</v>
      </c>
      <c r="S12" s="33">
        <v>0.55000000000000004</v>
      </c>
      <c r="T12" s="35">
        <v>3.8399999999999997E-2</v>
      </c>
      <c r="U12" s="35">
        <v>5.8099999999999999E-2</v>
      </c>
      <c r="V12" s="34">
        <v>0.1079</v>
      </c>
      <c r="W12" s="34">
        <v>0.17030000000000001</v>
      </c>
      <c r="X12" s="33">
        <v>0.02</v>
      </c>
      <c r="Y12" s="33">
        <v>0.14000000000000001</v>
      </c>
      <c r="Z12" s="34">
        <v>0.108</v>
      </c>
      <c r="AA12" s="34">
        <v>0.22120000000000001</v>
      </c>
      <c r="AB12" s="33">
        <v>0.06</v>
      </c>
      <c r="AC12" s="33">
        <v>0.35</v>
      </c>
      <c r="AD12" s="33">
        <v>0.75</v>
      </c>
      <c r="AE12" s="33">
        <v>0.77</v>
      </c>
      <c r="AF12" s="72">
        <v>0.12</v>
      </c>
      <c r="AG12" s="33">
        <v>0.248</v>
      </c>
      <c r="AH12" s="33">
        <v>0.56999999999999995</v>
      </c>
      <c r="AI12" s="33">
        <v>0.5</v>
      </c>
      <c r="AJ12" s="85">
        <v>0.88</v>
      </c>
      <c r="AK12" s="85">
        <v>0.93</v>
      </c>
      <c r="AL12" s="33"/>
      <c r="AM12" s="34"/>
      <c r="AN12" s="33">
        <v>0.26</v>
      </c>
      <c r="AO12" s="33">
        <v>0.26</v>
      </c>
      <c r="AP12" s="61">
        <v>6.7000000000000004E-2</v>
      </c>
      <c r="AQ12" s="61">
        <v>0.1074</v>
      </c>
      <c r="AR12" s="139">
        <v>0.05</v>
      </c>
      <c r="AS12" s="61">
        <v>0.25</v>
      </c>
      <c r="AT12" s="114">
        <v>0.19</v>
      </c>
      <c r="AU12" s="35">
        <v>0.34399999999999997</v>
      </c>
      <c r="AV12" s="34">
        <v>3.5200000000000002E-2</v>
      </c>
      <c r="AW12" s="34">
        <v>0.29980000000000001</v>
      </c>
      <c r="AX12" s="34">
        <v>6.8900000000000003E-2</v>
      </c>
      <c r="AY12" s="34">
        <v>0.2137</v>
      </c>
      <c r="AZ12" s="34">
        <v>3.5799999999999998E-2</v>
      </c>
      <c r="BA12" s="34">
        <v>1.0452999999999999</v>
      </c>
      <c r="BB12" s="33">
        <v>0.08</v>
      </c>
      <c r="BC12" s="33">
        <v>0.13</v>
      </c>
      <c r="BD12" s="30"/>
      <c r="BE12" s="90"/>
      <c r="BF12" s="30">
        <v>72.31</v>
      </c>
      <c r="BG12" s="30">
        <v>72.31</v>
      </c>
      <c r="BH12" s="90"/>
      <c r="BI12" s="90"/>
      <c r="BJ12" s="34">
        <v>9.9000000000000005E-2</v>
      </c>
      <c r="BK12" s="34">
        <v>0.21179999999999999</v>
      </c>
    </row>
    <row r="13" spans="1:63" ht="15" customHeight="1" x14ac:dyDescent="0.25">
      <c r="A13" s="11" t="s">
        <v>131</v>
      </c>
      <c r="B13" s="34">
        <v>1.4055</v>
      </c>
      <c r="C13" s="34">
        <v>1.7117</v>
      </c>
      <c r="D13" s="61">
        <v>1.08</v>
      </c>
      <c r="E13" s="33">
        <v>1.26</v>
      </c>
      <c r="F13" s="34">
        <v>0.88149999999999995</v>
      </c>
      <c r="G13" s="34">
        <v>0.99390000000000001</v>
      </c>
      <c r="H13" s="34">
        <v>0.98309999999999997</v>
      </c>
      <c r="I13" s="34">
        <v>0.99639999999999995</v>
      </c>
      <c r="J13" s="90">
        <v>0.85</v>
      </c>
      <c r="K13" s="90">
        <v>1.03</v>
      </c>
      <c r="L13" s="34">
        <v>1.0556000000000001</v>
      </c>
      <c r="M13" s="34">
        <v>1.1099000000000001</v>
      </c>
      <c r="N13" s="34">
        <v>-0.1074</v>
      </c>
      <c r="O13" s="34">
        <v>0.90980000000000005</v>
      </c>
      <c r="P13" s="33">
        <v>1.73</v>
      </c>
      <c r="Q13" s="33">
        <v>1.57</v>
      </c>
      <c r="R13" s="33">
        <v>1</v>
      </c>
      <c r="S13" s="33">
        <v>1.08</v>
      </c>
      <c r="T13" s="35">
        <v>1.1006</v>
      </c>
      <c r="U13" s="35">
        <v>1.1265000000000001</v>
      </c>
      <c r="V13" s="34">
        <v>0.98850000000000005</v>
      </c>
      <c r="W13" s="34">
        <v>1.0748</v>
      </c>
      <c r="X13" s="34">
        <v>1.03</v>
      </c>
      <c r="Y13" s="34">
        <v>1.0900000000000001</v>
      </c>
      <c r="Z13" s="34">
        <v>1.1789000000000001</v>
      </c>
      <c r="AA13" s="34">
        <v>1.1652</v>
      </c>
      <c r="AB13" s="33">
        <v>1.27</v>
      </c>
      <c r="AC13" s="33">
        <v>1.22</v>
      </c>
      <c r="AD13" s="33">
        <v>1.05</v>
      </c>
      <c r="AE13" s="33">
        <v>1.1599999999999999</v>
      </c>
      <c r="AF13" s="33">
        <v>1.1379999999999999</v>
      </c>
      <c r="AG13" s="33">
        <v>1.175</v>
      </c>
      <c r="AH13" s="33">
        <v>1.08</v>
      </c>
      <c r="AI13" s="33">
        <v>1.3</v>
      </c>
      <c r="AJ13" s="85">
        <v>1.03</v>
      </c>
      <c r="AK13" s="85">
        <v>1.07</v>
      </c>
      <c r="AL13" s="33">
        <v>1.51</v>
      </c>
      <c r="AM13" s="34">
        <v>1.3415999999999999</v>
      </c>
      <c r="AN13" s="33">
        <v>1.54</v>
      </c>
      <c r="AO13" s="33">
        <v>2.1</v>
      </c>
      <c r="AP13" s="35">
        <v>1.2785</v>
      </c>
      <c r="AQ13" s="35">
        <v>1.4140999999999999</v>
      </c>
      <c r="AR13" s="61">
        <v>1.07</v>
      </c>
      <c r="AS13" s="139">
        <v>1.0820000000000001</v>
      </c>
      <c r="AT13" s="114">
        <v>1.141</v>
      </c>
      <c r="AU13" s="35">
        <v>1.167</v>
      </c>
      <c r="AV13" s="34">
        <v>1.0317000000000001</v>
      </c>
      <c r="AW13" s="34">
        <v>1.137</v>
      </c>
      <c r="AX13" s="34">
        <v>1.0114000000000001</v>
      </c>
      <c r="AY13" s="34">
        <v>1.0720000000000001</v>
      </c>
      <c r="AZ13" s="34">
        <v>0.98419999999999996</v>
      </c>
      <c r="BA13" s="34">
        <v>1.1787000000000001</v>
      </c>
      <c r="BB13" s="33">
        <v>0.99</v>
      </c>
      <c r="BC13" s="33">
        <v>1.08</v>
      </c>
      <c r="BD13" s="30">
        <v>122.46</v>
      </c>
      <c r="BE13" s="30">
        <v>122.46</v>
      </c>
      <c r="BF13" s="90">
        <v>152.77000000000001</v>
      </c>
      <c r="BG13" s="90">
        <v>144.26</v>
      </c>
      <c r="BH13" s="90">
        <v>144.04</v>
      </c>
      <c r="BI13" s="90">
        <v>136.11000000000001</v>
      </c>
      <c r="BJ13" s="34">
        <v>1.0547</v>
      </c>
      <c r="BK13" s="34">
        <v>1.0242</v>
      </c>
    </row>
    <row r="14" spans="1:63" ht="15" customHeight="1" x14ac:dyDescent="0.25">
      <c r="A14" s="11" t="s">
        <v>267</v>
      </c>
      <c r="B14" s="34">
        <v>5.7299999999999997E-2</v>
      </c>
      <c r="C14" s="34">
        <v>5.7500000000000002E-2</v>
      </c>
      <c r="D14" s="61">
        <v>0.02</v>
      </c>
      <c r="E14" s="33">
        <v>7.0000000000000007E-2</v>
      </c>
      <c r="F14" s="34">
        <v>1.37E-2</v>
      </c>
      <c r="G14" s="34">
        <v>7.4800000000000005E-2</v>
      </c>
      <c r="H14" s="34">
        <v>1.4200000000000001E-2</v>
      </c>
      <c r="I14" s="34">
        <v>7.4999999999999997E-2</v>
      </c>
      <c r="J14" s="90">
        <v>0.02</v>
      </c>
      <c r="K14" s="90">
        <v>7.0000000000000007E-2</v>
      </c>
      <c r="L14" s="35">
        <v>1.6500000000000001E-2</v>
      </c>
      <c r="M14" s="35">
        <v>6.7799999999999999E-2</v>
      </c>
      <c r="N14" s="34">
        <v>7.1099999999999997E-2</v>
      </c>
      <c r="O14" s="34">
        <v>7.5300000000000006E-2</v>
      </c>
      <c r="P14" s="33">
        <v>2.7300000000000001E-2</v>
      </c>
      <c r="Q14" s="33">
        <v>0.14149999999999999</v>
      </c>
      <c r="R14" s="34">
        <v>4.1000000000000003E-3</v>
      </c>
      <c r="S14" s="34">
        <v>1.6299999999999999E-2</v>
      </c>
      <c r="T14" s="35">
        <v>1.47E-2</v>
      </c>
      <c r="U14" s="35">
        <v>6.2199999999999998E-2</v>
      </c>
      <c r="V14" s="34">
        <v>1.8100000000000002E-2</v>
      </c>
      <c r="W14" s="34">
        <v>7.3300000000000004E-2</v>
      </c>
      <c r="X14" s="33">
        <v>0.02</v>
      </c>
      <c r="Y14" s="33">
        <v>0.08</v>
      </c>
      <c r="Z14" s="34">
        <v>1.8200000000000001E-2</v>
      </c>
      <c r="AA14" s="34">
        <v>8.1900000000000001E-2</v>
      </c>
      <c r="AB14" s="34">
        <v>5.9299999999999999E-2</v>
      </c>
      <c r="AC14" s="34">
        <v>6.3500000000000001E-2</v>
      </c>
      <c r="AD14" s="34">
        <v>7.2999999999999995E-2</v>
      </c>
      <c r="AE14" s="34">
        <v>7.2300000000000003E-2</v>
      </c>
      <c r="AF14" s="72">
        <v>1.7999999999999999E-2</v>
      </c>
      <c r="AG14" s="72">
        <v>6.8000000000000005E-2</v>
      </c>
      <c r="AH14" s="33">
        <v>1.47E-2</v>
      </c>
      <c r="AI14" s="33">
        <v>6.3E-2</v>
      </c>
      <c r="AJ14" s="85">
        <v>0.01</v>
      </c>
      <c r="AK14" s="85">
        <v>0.05</v>
      </c>
      <c r="AL14" s="33"/>
      <c r="AM14" s="72">
        <v>8.4000000000000005E-2</v>
      </c>
      <c r="AN14" s="33">
        <v>0.02</v>
      </c>
      <c r="AO14" s="33">
        <v>0.08</v>
      </c>
      <c r="AP14" s="35">
        <v>1.5699999999999999E-2</v>
      </c>
      <c r="AQ14" s="35">
        <v>6.3200000000000006E-2</v>
      </c>
      <c r="AR14" s="61">
        <v>0.08</v>
      </c>
      <c r="AS14" s="139">
        <v>7.8E-2</v>
      </c>
      <c r="AT14" s="114">
        <v>1.7999999999999999E-2</v>
      </c>
      <c r="AU14" s="114">
        <v>7.8E-2</v>
      </c>
      <c r="AV14" s="34">
        <v>1.9400000000000001E-2</v>
      </c>
      <c r="AW14" s="34">
        <v>8.3500000000000005E-2</v>
      </c>
      <c r="AX14" s="34">
        <v>2.6499999999999999E-2</v>
      </c>
      <c r="AY14" s="34">
        <v>9.0800000000000006E-2</v>
      </c>
      <c r="AZ14" s="34">
        <v>1.9300000000000001E-2</v>
      </c>
      <c r="BA14" s="34">
        <v>8.4900000000000003E-2</v>
      </c>
      <c r="BB14" s="33">
        <v>0.02</v>
      </c>
      <c r="BC14" s="33">
        <v>0.08</v>
      </c>
      <c r="BD14" s="90"/>
      <c r="BE14" s="90"/>
      <c r="BF14" s="90"/>
      <c r="BG14" s="90">
        <v>7.63</v>
      </c>
      <c r="BH14" s="90">
        <v>8.26</v>
      </c>
      <c r="BI14" s="90">
        <v>8.26</v>
      </c>
      <c r="BJ14" s="34">
        <v>7.1099999999999997E-2</v>
      </c>
      <c r="BK14" s="34">
        <v>7.2700000000000001E-2</v>
      </c>
    </row>
    <row r="15" spans="1:63" ht="15" customHeight="1" x14ac:dyDescent="0.25">
      <c r="A15" s="11" t="s">
        <v>132</v>
      </c>
      <c r="B15" s="30">
        <v>2.7</v>
      </c>
      <c r="C15" s="90">
        <v>0.79</v>
      </c>
      <c r="D15" s="36">
        <v>1.82</v>
      </c>
      <c r="E15" s="36">
        <v>0.59</v>
      </c>
      <c r="F15" s="90">
        <v>4.1900000000000004</v>
      </c>
      <c r="G15" s="90">
        <v>1.26</v>
      </c>
      <c r="H15" s="30">
        <v>7.6</v>
      </c>
      <c r="I15" s="30">
        <v>1.94</v>
      </c>
      <c r="J15" s="90">
        <v>2.23</v>
      </c>
      <c r="K15" s="90">
        <v>0.66</v>
      </c>
      <c r="L15" s="90">
        <v>9.0399999999999991</v>
      </c>
      <c r="M15" s="90">
        <v>2.66</v>
      </c>
      <c r="N15" s="90">
        <v>8.59</v>
      </c>
      <c r="O15" s="90">
        <v>8.59</v>
      </c>
      <c r="P15" s="30">
        <v>7.08</v>
      </c>
      <c r="Q15" s="30">
        <v>1.34</v>
      </c>
      <c r="R15" s="30">
        <v>5.0999999999999996</v>
      </c>
      <c r="S15" s="90">
        <v>1.59</v>
      </c>
      <c r="T15" s="90">
        <v>1.48</v>
      </c>
      <c r="U15" s="90">
        <v>1.48</v>
      </c>
      <c r="V15" s="90">
        <v>5.29</v>
      </c>
      <c r="W15" s="90">
        <v>1.62</v>
      </c>
      <c r="X15" s="30">
        <v>8.3000000000000007</v>
      </c>
      <c r="Y15" s="30">
        <v>2.44</v>
      </c>
      <c r="Z15" s="30"/>
      <c r="AA15" s="90">
        <v>1.72</v>
      </c>
      <c r="AB15" s="30">
        <v>4.9000000000000004</v>
      </c>
      <c r="AC15" s="30">
        <v>1.58</v>
      </c>
      <c r="AD15" s="30">
        <v>6.54</v>
      </c>
      <c r="AE15" s="30">
        <v>1.64</v>
      </c>
      <c r="AF15" s="90">
        <v>7.64</v>
      </c>
      <c r="AG15" s="90">
        <v>2.39</v>
      </c>
      <c r="AH15" s="85">
        <v>2.0499999999999998</v>
      </c>
      <c r="AI15" s="85">
        <v>0.61</v>
      </c>
      <c r="AJ15" s="118" t="s">
        <v>316</v>
      </c>
      <c r="AK15" s="118" t="s">
        <v>321</v>
      </c>
      <c r="AL15" s="91">
        <v>9</v>
      </c>
      <c r="AM15" s="90">
        <v>2.14</v>
      </c>
      <c r="AN15" s="30">
        <v>9.1300000000000008</v>
      </c>
      <c r="AO15" s="30">
        <v>3.52</v>
      </c>
      <c r="AP15" s="90">
        <v>6.25</v>
      </c>
      <c r="AQ15" s="90">
        <v>1.74</v>
      </c>
      <c r="AR15" s="36">
        <v>8.27</v>
      </c>
      <c r="AS15" s="36">
        <v>2.1</v>
      </c>
      <c r="AT15" s="90">
        <v>2.6</v>
      </c>
      <c r="AU15" s="90">
        <v>2.6</v>
      </c>
      <c r="AV15" s="30">
        <v>4.42</v>
      </c>
      <c r="AW15" s="30">
        <v>1.66</v>
      </c>
      <c r="AX15" s="34">
        <v>19.0152</v>
      </c>
      <c r="AY15" s="34">
        <v>5.2552000000000003</v>
      </c>
      <c r="AZ15" s="34">
        <v>2.0476000000000001</v>
      </c>
      <c r="BA15" s="34">
        <v>0.65800000000000003</v>
      </c>
      <c r="BB15" s="30">
        <v>5.3</v>
      </c>
      <c r="BC15" s="30">
        <v>1.74</v>
      </c>
      <c r="BD15" s="90">
        <v>1.52</v>
      </c>
      <c r="BE15" s="90">
        <v>1.52</v>
      </c>
      <c r="BF15" s="90">
        <v>7.33</v>
      </c>
      <c r="BG15" s="30">
        <v>1.85</v>
      </c>
      <c r="BH15" s="90">
        <v>2.3199999999999998</v>
      </c>
      <c r="BI15" s="90">
        <v>2.3199999999999998</v>
      </c>
      <c r="BJ15" s="90">
        <v>1.82</v>
      </c>
      <c r="BK15" s="90">
        <v>1.67</v>
      </c>
    </row>
    <row r="16" spans="1:63" x14ac:dyDescent="0.25">
      <c r="A16" s="11" t="s">
        <v>133</v>
      </c>
      <c r="B16" s="30">
        <v>-0.54</v>
      </c>
      <c r="C16" s="90">
        <v>-0.95</v>
      </c>
      <c r="D16" s="36">
        <v>-0.13</v>
      </c>
      <c r="E16" s="36">
        <v>-0.34</v>
      </c>
      <c r="F16" s="90">
        <v>0.06</v>
      </c>
      <c r="G16" s="90">
        <v>0</v>
      </c>
      <c r="H16" s="30">
        <v>0</v>
      </c>
      <c r="I16" s="30">
        <v>0</v>
      </c>
      <c r="J16" s="36">
        <v>7.0000000000000007E-2</v>
      </c>
      <c r="K16" s="90">
        <v>-7.0000000000000007E-2</v>
      </c>
      <c r="L16" s="38">
        <v>-0.14000000000000001</v>
      </c>
      <c r="M16" s="90">
        <v>-0.13</v>
      </c>
      <c r="N16" s="34">
        <v>0.42870000000000003</v>
      </c>
      <c r="O16" s="34">
        <v>0.10639999999999999</v>
      </c>
      <c r="P16" s="30">
        <v>-0.52</v>
      </c>
      <c r="Q16" s="30">
        <v>-0.57999999999999996</v>
      </c>
      <c r="R16" s="30">
        <v>-0.1</v>
      </c>
      <c r="S16" s="90">
        <v>-0.11</v>
      </c>
      <c r="T16" s="36">
        <v>-0.22</v>
      </c>
      <c r="U16" s="36">
        <v>-0.21</v>
      </c>
      <c r="V16" s="90">
        <v>-0.04</v>
      </c>
      <c r="W16" s="90">
        <v>-0.08</v>
      </c>
      <c r="X16" s="90">
        <v>-0.09</v>
      </c>
      <c r="Y16" s="90">
        <v>-0.1</v>
      </c>
      <c r="Z16" s="34">
        <v>-0.19489999999999999</v>
      </c>
      <c r="AA16" s="35">
        <v>-0.17849999999999999</v>
      </c>
      <c r="AB16" s="90">
        <v>-0.47</v>
      </c>
      <c r="AC16" s="90">
        <v>-0.31</v>
      </c>
      <c r="AD16" s="30">
        <v>-0.13</v>
      </c>
      <c r="AE16" s="30">
        <v>-0.15</v>
      </c>
      <c r="AF16" s="90">
        <v>-0.32</v>
      </c>
      <c r="AG16" s="90">
        <v>-0.28999999999999998</v>
      </c>
      <c r="AH16" s="73">
        <v>-0.14000000000000001</v>
      </c>
      <c r="AI16" s="73">
        <v>-0.37</v>
      </c>
      <c r="AJ16" s="118" t="s">
        <v>317</v>
      </c>
      <c r="AK16" s="118" t="s">
        <v>322</v>
      </c>
      <c r="AL16" s="90">
        <v>-0.47</v>
      </c>
      <c r="AM16" s="90">
        <v>-0.34</v>
      </c>
      <c r="AN16" s="30">
        <v>-0.76</v>
      </c>
      <c r="AO16" s="30">
        <v>-1.2</v>
      </c>
      <c r="AP16" s="90">
        <v>-0.36</v>
      </c>
      <c r="AQ16" s="90">
        <v>-0.47</v>
      </c>
      <c r="AR16" s="36">
        <v>-0.11</v>
      </c>
      <c r="AS16" s="36">
        <v>-0.1</v>
      </c>
      <c r="AT16" s="90">
        <v>-0.21</v>
      </c>
      <c r="AU16" s="90">
        <v>-0.17</v>
      </c>
      <c r="AV16" s="30">
        <v>-0.12</v>
      </c>
      <c r="AW16" s="30">
        <v>-0.15</v>
      </c>
      <c r="AX16" s="34">
        <v>-4.5600000000000002E-2</v>
      </c>
      <c r="AY16" s="34">
        <v>-3.6700000000000003E-2</v>
      </c>
      <c r="AZ16" s="34">
        <v>-8.2900000000000001E-2</v>
      </c>
      <c r="BA16" s="34">
        <v>-0.2102</v>
      </c>
      <c r="BB16" s="30">
        <v>-0.09</v>
      </c>
      <c r="BC16" s="30">
        <v>-0.12</v>
      </c>
      <c r="BD16">
        <v>-0.24</v>
      </c>
      <c r="BE16" s="90">
        <v>-0.21</v>
      </c>
      <c r="BF16" s="30">
        <v>-0.56000000000000005</v>
      </c>
      <c r="BG16" s="30">
        <v>-0.45</v>
      </c>
      <c r="BH16" s="90">
        <v>-43.8</v>
      </c>
      <c r="BI16" s="90">
        <v>-35.4</v>
      </c>
      <c r="BJ16" s="90">
        <v>-0.09</v>
      </c>
      <c r="BK16" s="90">
        <v>-7.0000000000000007E-2</v>
      </c>
    </row>
    <row r="17" spans="1:63" x14ac:dyDescent="0.25">
      <c r="A17" s="11" t="s">
        <v>134</v>
      </c>
      <c r="B17" s="34">
        <v>-0.47060000000000002</v>
      </c>
      <c r="C17" s="34">
        <v>-0.88029999999999997</v>
      </c>
      <c r="D17" s="61">
        <v>-0.08</v>
      </c>
      <c r="E17" s="33">
        <v>-0.28000000000000003</v>
      </c>
      <c r="F17" s="34">
        <v>6.2600000000000003E-2</v>
      </c>
      <c r="G17" s="34">
        <v>0.1041</v>
      </c>
      <c r="H17" s="34">
        <v>0.1384</v>
      </c>
      <c r="I17" s="34">
        <v>0.182</v>
      </c>
      <c r="J17" s="90">
        <v>0.11</v>
      </c>
      <c r="K17" s="90">
        <v>-0.01</v>
      </c>
      <c r="L17" s="34">
        <v>0.1714</v>
      </c>
      <c r="M17" s="34">
        <v>0.1731</v>
      </c>
      <c r="N17" s="34">
        <v>0.91059999999999997</v>
      </c>
      <c r="O17" s="34">
        <v>0.77639999999999998</v>
      </c>
      <c r="P17" s="33">
        <v>-0.44</v>
      </c>
      <c r="Q17" s="33">
        <v>-0.49</v>
      </c>
      <c r="R17" s="33">
        <v>0.03</v>
      </c>
      <c r="S17" s="33">
        <v>0.03</v>
      </c>
      <c r="T17" s="35">
        <v>-0.1187</v>
      </c>
      <c r="U17" s="35">
        <v>-0.11020000000000001</v>
      </c>
      <c r="V17" s="34">
        <v>0.1158</v>
      </c>
      <c r="W17" s="34">
        <v>6.9000000000000006E-2</v>
      </c>
      <c r="X17" s="33">
        <v>0.3</v>
      </c>
      <c r="Y17" s="33">
        <v>0.14000000000000001</v>
      </c>
      <c r="Z17" s="34">
        <v>-6.8400000000000002E-2</v>
      </c>
      <c r="AA17" s="34">
        <v>-3.5200000000000002E-2</v>
      </c>
      <c r="AB17" s="61">
        <v>-0.09</v>
      </c>
      <c r="AC17" s="33">
        <v>-0.12</v>
      </c>
      <c r="AD17" s="33">
        <v>0.02</v>
      </c>
      <c r="AE17" s="33">
        <v>-0.02</v>
      </c>
      <c r="AF17" s="72">
        <v>2.7E-2</v>
      </c>
      <c r="AG17" s="72">
        <v>3.5000000000000003E-2</v>
      </c>
      <c r="AH17" s="85">
        <v>0.6</v>
      </c>
      <c r="AI17" s="33">
        <v>-0.11</v>
      </c>
      <c r="AJ17" s="85">
        <v>0.12</v>
      </c>
      <c r="AK17" s="85">
        <v>0.03</v>
      </c>
      <c r="AL17" s="34">
        <v>-0.27050000000000002</v>
      </c>
      <c r="AM17" s="34">
        <v>-0.1278</v>
      </c>
      <c r="AN17" s="33">
        <v>-0.52</v>
      </c>
      <c r="AO17" s="33">
        <v>-0.88</v>
      </c>
      <c r="AP17" s="35">
        <v>-6.83E-2</v>
      </c>
      <c r="AQ17" s="35">
        <v>-0.15040000000000001</v>
      </c>
      <c r="AR17" s="139">
        <v>3.5999999999999997E-2</v>
      </c>
      <c r="AS17" s="139">
        <v>0.13500000000000001</v>
      </c>
      <c r="AT17" s="35">
        <v>-1.2E-2</v>
      </c>
      <c r="AU17" s="35">
        <v>0.03</v>
      </c>
      <c r="AV17" s="34">
        <v>-7.3000000000000001E-3</v>
      </c>
      <c r="AW17" s="34">
        <v>-1.7500000000000002E-2</v>
      </c>
      <c r="AX17" s="34">
        <v>0.45910000000000001</v>
      </c>
      <c r="AY17" s="34">
        <v>0.39860000000000001</v>
      </c>
      <c r="AZ17" s="34">
        <v>-3.7400000000000003E-2</v>
      </c>
      <c r="BA17" s="34">
        <v>-0.1613</v>
      </c>
      <c r="BB17" s="33">
        <v>0.08</v>
      </c>
      <c r="BC17" s="33">
        <v>7.0000000000000007E-2</v>
      </c>
      <c r="BD17" s="90">
        <v>-12.83</v>
      </c>
      <c r="BE17" s="90">
        <v>-5.09</v>
      </c>
      <c r="BF17" s="30">
        <v>-36.4</v>
      </c>
      <c r="BG17" s="30">
        <v>-26.78</v>
      </c>
      <c r="BH17" s="90">
        <v>-9.2899999999999991</v>
      </c>
      <c r="BI17" s="90">
        <v>-12.25</v>
      </c>
      <c r="BJ17" s="34">
        <v>4.6800000000000001E-2</v>
      </c>
      <c r="BK17" s="34">
        <v>8.2000000000000003E-2</v>
      </c>
    </row>
    <row r="18" spans="1:63" x14ac:dyDescent="0.25">
      <c r="A18" s="11" t="s">
        <v>135</v>
      </c>
      <c r="B18" s="30">
        <v>0.28000000000000003</v>
      </c>
      <c r="C18" s="90">
        <v>0.28000000000000003</v>
      </c>
      <c r="D18" s="36">
        <v>0.31</v>
      </c>
      <c r="E18" s="36">
        <v>0.31</v>
      </c>
      <c r="F18" s="90">
        <v>0.26</v>
      </c>
      <c r="G18" s="90">
        <v>0.26</v>
      </c>
      <c r="H18" s="30">
        <v>0.37</v>
      </c>
      <c r="I18" s="30">
        <v>0.37</v>
      </c>
      <c r="J18" s="90">
        <v>0.33</v>
      </c>
      <c r="K18" s="90">
        <v>0.33</v>
      </c>
      <c r="L18" s="90">
        <v>0.14000000000000001</v>
      </c>
      <c r="M18" s="30">
        <v>0.14000000000000001</v>
      </c>
      <c r="N18" s="90">
        <v>-1.41</v>
      </c>
      <c r="O18" s="90">
        <v>0.37</v>
      </c>
      <c r="P18" s="30">
        <v>0.51</v>
      </c>
      <c r="Q18" s="30">
        <v>0.51</v>
      </c>
      <c r="R18" s="30">
        <v>0.1</v>
      </c>
      <c r="S18" s="90">
        <v>0.1</v>
      </c>
      <c r="T18" s="34">
        <v>0.39879999999999999</v>
      </c>
      <c r="U18" s="34">
        <v>0.39879999999999999</v>
      </c>
      <c r="V18" s="90">
        <v>0.2</v>
      </c>
      <c r="W18" s="90">
        <v>0.2</v>
      </c>
      <c r="X18" s="30">
        <v>0.17</v>
      </c>
      <c r="Y18" s="30">
        <v>0.17</v>
      </c>
      <c r="Z18" s="30"/>
      <c r="AA18" s="90">
        <v>0.31</v>
      </c>
      <c r="AB18" s="90">
        <v>0.09</v>
      </c>
      <c r="AC18" s="90">
        <v>0.09</v>
      </c>
      <c r="AD18" s="30">
        <v>0.22</v>
      </c>
      <c r="AE18" s="30">
        <v>0.22</v>
      </c>
      <c r="AF18" s="90">
        <v>0.13</v>
      </c>
      <c r="AG18" s="90">
        <v>0.13</v>
      </c>
      <c r="AH18" s="85">
        <v>0.37</v>
      </c>
      <c r="AI18" s="85">
        <v>0.37</v>
      </c>
      <c r="AJ18" s="118" t="s">
        <v>318</v>
      </c>
      <c r="AK18" s="118" t="s">
        <v>323</v>
      </c>
      <c r="AL18" s="90">
        <v>0.3</v>
      </c>
      <c r="AM18" s="90">
        <v>0.3</v>
      </c>
      <c r="AN18" s="30">
        <v>0.7</v>
      </c>
      <c r="AO18" s="30">
        <v>0.7</v>
      </c>
      <c r="AP18" s="90">
        <v>0.17</v>
      </c>
      <c r="AQ18" s="90">
        <v>0.17</v>
      </c>
      <c r="AR18" s="36">
        <v>0.3</v>
      </c>
      <c r="AS18" s="36">
        <v>0.3</v>
      </c>
      <c r="AT18" s="90">
        <v>0.31</v>
      </c>
      <c r="AU18" s="90">
        <v>0.31</v>
      </c>
      <c r="AV18" s="30">
        <v>0.21</v>
      </c>
      <c r="AW18" s="30">
        <v>0.21</v>
      </c>
      <c r="AX18" s="34">
        <v>6.1100000000000002E-2</v>
      </c>
      <c r="AY18" s="34">
        <v>6.1100000000000002E-2</v>
      </c>
      <c r="AZ18" s="34">
        <v>0.35410000000000003</v>
      </c>
      <c r="BA18" s="34">
        <v>0.35410000000000003</v>
      </c>
      <c r="BB18" s="30">
        <v>0.21</v>
      </c>
      <c r="BC18" s="30">
        <v>0.21</v>
      </c>
      <c r="BD18" s="90">
        <v>0.37</v>
      </c>
      <c r="BE18" s="90">
        <v>0.37</v>
      </c>
      <c r="BF18" s="30">
        <v>0.21</v>
      </c>
      <c r="BG18" s="30">
        <v>0.21</v>
      </c>
      <c r="BH18" s="90">
        <v>0.16</v>
      </c>
      <c r="BI18" s="90">
        <v>0.16</v>
      </c>
      <c r="BJ18" s="90">
        <v>0.38</v>
      </c>
      <c r="BK18" s="90">
        <v>0.38</v>
      </c>
    </row>
    <row r="19" spans="1:63" x14ac:dyDescent="0.25">
      <c r="A19" s="11" t="s">
        <v>136</v>
      </c>
      <c r="B19" s="34">
        <v>-0.36370000000000002</v>
      </c>
      <c r="C19" s="34">
        <v>-0.64849999999999997</v>
      </c>
      <c r="D19" s="61">
        <v>-7.0000000000000007E-2</v>
      </c>
      <c r="E19" s="33">
        <v>-0.23</v>
      </c>
      <c r="F19" s="34">
        <v>9.4100000000000003E-2</v>
      </c>
      <c r="G19" s="34">
        <v>0.10680000000000001</v>
      </c>
      <c r="H19" s="34">
        <v>0.1196</v>
      </c>
      <c r="I19" s="34">
        <v>0.17249999999999999</v>
      </c>
      <c r="J19" s="90">
        <v>0.08</v>
      </c>
      <c r="K19" s="90">
        <v>0</v>
      </c>
      <c r="L19" s="34">
        <v>1.46E-2</v>
      </c>
      <c r="M19" s="34">
        <v>2.1600000000000001E-2</v>
      </c>
      <c r="N19" s="34">
        <v>0.63619999999999999</v>
      </c>
      <c r="O19" s="34">
        <v>0.97019999999999995</v>
      </c>
      <c r="P19" s="33">
        <v>-0.44</v>
      </c>
      <c r="Q19" s="33">
        <v>-0.47</v>
      </c>
      <c r="R19" s="33">
        <v>0.03</v>
      </c>
      <c r="S19" s="33">
        <v>0.05</v>
      </c>
      <c r="T19" s="35">
        <v>-7.5899999999999995E-2</v>
      </c>
      <c r="U19" s="35">
        <v>-7.0800000000000002E-2</v>
      </c>
      <c r="V19" s="34">
        <v>8.1100000000000005E-2</v>
      </c>
      <c r="W19" s="34">
        <v>7.0400000000000004E-2</v>
      </c>
      <c r="X19" s="33">
        <v>0.09</v>
      </c>
      <c r="Y19" s="33">
        <v>0.1</v>
      </c>
      <c r="Z19" s="34">
        <v>-2.1299999999999999E-2</v>
      </c>
      <c r="AA19" s="34">
        <v>9.9000000000000008E-3</v>
      </c>
      <c r="AB19" s="33">
        <v>-0.24</v>
      </c>
      <c r="AC19" s="33">
        <v>-0.14000000000000001</v>
      </c>
      <c r="AD19" s="33">
        <v>0.05</v>
      </c>
      <c r="AE19" s="33">
        <v>0.03</v>
      </c>
      <c r="AF19" s="33">
        <v>-3.4000000000000002E-2</v>
      </c>
      <c r="AG19" s="34">
        <v>-1.0999999999999999E-2</v>
      </c>
      <c r="AH19" s="87">
        <v>-0.08</v>
      </c>
      <c r="AI19" s="33">
        <v>-0.27</v>
      </c>
      <c r="AJ19" s="85">
        <v>-7.0000000000000007E-2</v>
      </c>
      <c r="AK19" s="85">
        <v>-0.09</v>
      </c>
      <c r="AL19" s="34">
        <v>-0.34429999999999999</v>
      </c>
      <c r="AM19" s="34">
        <v>-0.13789999999999999</v>
      </c>
      <c r="AN19" s="33">
        <v>-0.28999999999999998</v>
      </c>
      <c r="AO19" s="33">
        <v>-0.65</v>
      </c>
      <c r="AP19" s="35">
        <v>-0.1988</v>
      </c>
      <c r="AQ19" s="41">
        <v>-0.29599999999999999</v>
      </c>
      <c r="AR19" s="139">
        <v>3.2000000000000001E-2</v>
      </c>
      <c r="AS19" s="139">
        <v>4.3999999999999997E-2</v>
      </c>
      <c r="AT19" s="35">
        <v>1.7000000000000001E-2</v>
      </c>
      <c r="AU19" s="35">
        <v>0.06</v>
      </c>
      <c r="AV19" s="34">
        <v>1.8599999999999998E-2</v>
      </c>
      <c r="AW19" s="34">
        <v>2.98E-2</v>
      </c>
      <c r="AX19" s="34">
        <v>0.43880000000000002</v>
      </c>
      <c r="AY19" s="34">
        <v>0.41110000000000002</v>
      </c>
      <c r="AZ19" s="34">
        <v>-2.3599999999999999E-2</v>
      </c>
      <c r="BA19" s="34">
        <v>-9.6299999999999997E-2</v>
      </c>
      <c r="BB19" s="33">
        <v>0.04</v>
      </c>
      <c r="BC19" s="33">
        <v>0.06</v>
      </c>
      <c r="BD19" s="90">
        <v>-6.94</v>
      </c>
      <c r="BE19" s="90">
        <v>0.55000000000000004</v>
      </c>
      <c r="BF19" s="30">
        <v>-36.32</v>
      </c>
      <c r="BG19" s="30">
        <v>-25.33</v>
      </c>
      <c r="BH19" s="90">
        <v>-23.21</v>
      </c>
      <c r="BI19" s="90">
        <v>-15.89</v>
      </c>
      <c r="BJ19" s="34">
        <v>5.96E-2</v>
      </c>
      <c r="BK19" s="34">
        <v>7.3599999999999999E-2</v>
      </c>
    </row>
    <row r="20" spans="1:63" x14ac:dyDescent="0.25">
      <c r="A20" s="11" t="s">
        <v>137</v>
      </c>
      <c r="B20" s="34">
        <v>-0.20599999999999999</v>
      </c>
      <c r="C20" s="34">
        <v>-1.2877000000000001</v>
      </c>
      <c r="D20" s="61">
        <v>-0.06</v>
      </c>
      <c r="E20" s="33">
        <v>-0.6</v>
      </c>
      <c r="F20" s="34">
        <v>3.6400000000000002E-2</v>
      </c>
      <c r="G20" s="34">
        <v>0.13739999999999999</v>
      </c>
      <c r="H20" s="34">
        <v>2.9700000000000001E-2</v>
      </c>
      <c r="I20" s="34">
        <v>0.16039999999999999</v>
      </c>
      <c r="J20" s="90">
        <v>0.06</v>
      </c>
      <c r="K20" s="90">
        <v>0.01</v>
      </c>
      <c r="L20" s="34">
        <v>7.9000000000000008E-3</v>
      </c>
      <c r="M20" s="34">
        <v>3.9300000000000002E-2</v>
      </c>
      <c r="N20" s="34">
        <v>0.1116</v>
      </c>
      <c r="O20" s="34">
        <v>0.1116</v>
      </c>
      <c r="P20" s="33">
        <v>-0.22</v>
      </c>
      <c r="Q20" s="33">
        <v>-0.88</v>
      </c>
      <c r="R20" s="33">
        <v>0.02</v>
      </c>
      <c r="S20" s="33">
        <v>0.1</v>
      </c>
      <c r="T20" s="35">
        <v>-5.3199999999999997E-2</v>
      </c>
      <c r="U20" s="35">
        <v>-0.1585</v>
      </c>
      <c r="V20" s="34">
        <v>5.5100000000000003E-2</v>
      </c>
      <c r="W20" s="34">
        <v>0.15570000000000001</v>
      </c>
      <c r="X20" s="33">
        <v>0.03</v>
      </c>
      <c r="Y20" s="33">
        <v>0.14000000000000001</v>
      </c>
      <c r="Z20" s="33"/>
      <c r="AA20" s="34">
        <v>1.7999999999999999E-2</v>
      </c>
      <c r="AB20" s="33">
        <v>-0.2</v>
      </c>
      <c r="AC20" s="33">
        <v>-0.36</v>
      </c>
      <c r="AD20" s="33">
        <v>0.02</v>
      </c>
      <c r="AE20" s="33">
        <v>0.04</v>
      </c>
      <c r="AF20" s="72">
        <v>-2.9000000000000001E-2</v>
      </c>
      <c r="AG20" s="34">
        <v>-0.03</v>
      </c>
      <c r="AH20" s="87">
        <v>-0.11</v>
      </c>
      <c r="AI20" s="33">
        <v>-1.22</v>
      </c>
      <c r="AJ20" s="85">
        <v>-0.09</v>
      </c>
      <c r="AK20" s="85">
        <v>-0.39</v>
      </c>
      <c r="AL20" s="34">
        <v>-0.3619</v>
      </c>
      <c r="AM20" s="34">
        <v>-0.60880000000000001</v>
      </c>
      <c r="AN20" s="33">
        <v>-0.05</v>
      </c>
      <c r="AO20" s="33">
        <v>-0.31</v>
      </c>
      <c r="AP20" s="35">
        <v>-8.8800000000000004E-2</v>
      </c>
      <c r="AQ20" s="35">
        <v>-0.4738</v>
      </c>
      <c r="AR20" s="61">
        <v>0.02</v>
      </c>
      <c r="AS20" s="139">
        <v>0.105</v>
      </c>
      <c r="AT20" s="35">
        <v>7.0000000000000001E-3</v>
      </c>
      <c r="AU20" s="35">
        <v>0.09</v>
      </c>
      <c r="AV20" s="34">
        <v>1.0699999999999999E-2</v>
      </c>
      <c r="AW20" s="34">
        <v>4.5699999999999998E-2</v>
      </c>
      <c r="AX20" s="34">
        <v>0.28120000000000001</v>
      </c>
      <c r="AY20" s="34">
        <v>0.28120000000000001</v>
      </c>
      <c r="AZ20" s="34">
        <v>-1.8200000000000001E-2</v>
      </c>
      <c r="BA20" s="34">
        <v>-0.2306</v>
      </c>
      <c r="BB20" s="33">
        <v>0.03</v>
      </c>
      <c r="BC20" s="33">
        <v>0.13</v>
      </c>
      <c r="BD20" s="90">
        <v>-2.98</v>
      </c>
      <c r="BE20" s="90">
        <v>0.9</v>
      </c>
      <c r="BF20" s="30">
        <v>-296.91000000000003</v>
      </c>
      <c r="BG20" s="30">
        <v>-594.45000000000005</v>
      </c>
      <c r="BH20" s="90">
        <v>-44.93</v>
      </c>
      <c r="BI20" s="90">
        <v>-101.93</v>
      </c>
      <c r="BJ20" s="34">
        <v>2.5700000000000001E-2</v>
      </c>
      <c r="BK20" s="34">
        <v>0.1051</v>
      </c>
    </row>
    <row r="21" spans="1:63" ht="30" x14ac:dyDescent="0.25">
      <c r="A21" s="11" t="s">
        <v>138</v>
      </c>
      <c r="B21" s="30">
        <v>1.68</v>
      </c>
      <c r="C21" s="30">
        <v>1.68</v>
      </c>
      <c r="D21" s="30">
        <v>1.77</v>
      </c>
      <c r="E21" s="30">
        <v>1.77</v>
      </c>
      <c r="F21" s="90">
        <v>2.4500000000000002</v>
      </c>
      <c r="G21" s="90">
        <v>2.4500000000000002</v>
      </c>
      <c r="H21" s="30">
        <v>3.44</v>
      </c>
      <c r="I21" s="30">
        <v>3.44</v>
      </c>
      <c r="J21" s="90">
        <v>1.85</v>
      </c>
      <c r="K21" s="90">
        <v>1.85</v>
      </c>
      <c r="L21" s="30">
        <v>1.95</v>
      </c>
      <c r="M21" s="30">
        <v>1.95</v>
      </c>
      <c r="N21" s="34"/>
      <c r="O21" s="90">
        <v>30.05</v>
      </c>
      <c r="P21" s="30">
        <v>1.67</v>
      </c>
      <c r="Q21" s="30">
        <v>1.67</v>
      </c>
      <c r="R21" s="30">
        <v>1.66</v>
      </c>
      <c r="S21" s="90">
        <v>1.66</v>
      </c>
      <c r="T21" s="30">
        <v>2.0099999999999998</v>
      </c>
      <c r="U21" s="30">
        <v>2.0099999999999998</v>
      </c>
      <c r="V21" s="90">
        <v>1.64</v>
      </c>
      <c r="W21" s="90">
        <v>1.64</v>
      </c>
      <c r="X21" s="30">
        <v>2.46</v>
      </c>
      <c r="Y21" s="30">
        <v>2.46</v>
      </c>
      <c r="Z21" s="30"/>
      <c r="AA21" s="30">
        <v>1.68</v>
      </c>
      <c r="AB21" s="30">
        <v>1.79</v>
      </c>
      <c r="AC21" s="30">
        <v>1.79</v>
      </c>
      <c r="AD21" s="30">
        <v>2.87</v>
      </c>
      <c r="AE21" s="30">
        <v>2.87</v>
      </c>
      <c r="AF21" s="90">
        <v>1.76</v>
      </c>
      <c r="AG21" s="90">
        <v>1.76</v>
      </c>
      <c r="AH21" s="85">
        <v>1.68</v>
      </c>
      <c r="AI21" s="85">
        <v>1.68</v>
      </c>
      <c r="AJ21" s="118" t="s">
        <v>319</v>
      </c>
      <c r="AK21" s="118" t="s">
        <v>319</v>
      </c>
      <c r="AL21" s="30"/>
      <c r="AM21" s="30"/>
      <c r="AN21" s="30">
        <v>1.91</v>
      </c>
      <c r="AO21" s="30">
        <v>1.91</v>
      </c>
      <c r="AP21" s="30"/>
      <c r="AQ21" s="30">
        <v>2.2200000000000002</v>
      </c>
      <c r="AR21" s="77">
        <v>1.66</v>
      </c>
      <c r="AS21" s="77">
        <v>1.66</v>
      </c>
      <c r="AT21" s="90">
        <v>2.1</v>
      </c>
      <c r="AU21" s="90">
        <v>2.1</v>
      </c>
      <c r="AV21" s="30">
        <v>1.85</v>
      </c>
      <c r="AW21" s="30">
        <v>1.85</v>
      </c>
      <c r="AX21" s="30">
        <v>4.62</v>
      </c>
      <c r="AY21" s="30">
        <v>4.62</v>
      </c>
      <c r="AZ21" s="30">
        <v>1.67</v>
      </c>
      <c r="BA21" s="30">
        <v>1.67</v>
      </c>
      <c r="BB21" s="30">
        <v>1.97</v>
      </c>
      <c r="BC21" s="30">
        <v>1.97</v>
      </c>
      <c r="BD21" s="30">
        <v>1.66</v>
      </c>
      <c r="BE21" s="30">
        <v>1.66</v>
      </c>
      <c r="BF21" s="30"/>
      <c r="BG21" s="30">
        <v>0.15</v>
      </c>
      <c r="BH21" s="90">
        <v>0.51</v>
      </c>
      <c r="BI21" s="90">
        <v>0.51</v>
      </c>
      <c r="BJ21" s="30">
        <v>1.92</v>
      </c>
      <c r="BK21" s="30">
        <v>1.92</v>
      </c>
    </row>
  </sheetData>
  <mergeCells count="31">
    <mergeCell ref="V2:W2"/>
    <mergeCell ref="L2:M2"/>
    <mergeCell ref="N2:O2"/>
    <mergeCell ref="P2:Q2"/>
    <mergeCell ref="R2:S2"/>
    <mergeCell ref="T2:U2"/>
    <mergeCell ref="J2:K2"/>
    <mergeCell ref="B2:C2"/>
    <mergeCell ref="D2:E2"/>
    <mergeCell ref="F2:G2"/>
    <mergeCell ref="H2:I2"/>
    <mergeCell ref="X2:Y2"/>
    <mergeCell ref="Z2:AA2"/>
    <mergeCell ref="AB2:AC2"/>
    <mergeCell ref="AD2:AE2"/>
    <mergeCell ref="AH2:AI2"/>
    <mergeCell ref="AF2:AG2"/>
    <mergeCell ref="AJ2:AK2"/>
    <mergeCell ref="AL2:AM2"/>
    <mergeCell ref="AN2:AO2"/>
    <mergeCell ref="AP2:AQ2"/>
    <mergeCell ref="BF2:BG2"/>
    <mergeCell ref="AR2:AS2"/>
    <mergeCell ref="AT2:AU2"/>
    <mergeCell ref="AV2:AW2"/>
    <mergeCell ref="BH2:BI2"/>
    <mergeCell ref="BJ2:BK2"/>
    <mergeCell ref="BD2:BE2"/>
    <mergeCell ref="AX2:AY2"/>
    <mergeCell ref="AZ2:BA2"/>
    <mergeCell ref="BB2:BC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22" customWidth="1"/>
    <col min="2" max="16" width="16" style="22" customWidth="1"/>
    <col min="17" max="17" width="19.5703125" style="22" customWidth="1"/>
    <col min="18" max="26" width="16" style="22" customWidth="1"/>
    <col min="27" max="27" width="16" style="148" customWidth="1"/>
    <col min="28" max="32" width="16" style="22" customWidth="1"/>
    <col min="33" max="16384" width="9.140625" style="22"/>
  </cols>
  <sheetData>
    <row r="1" spans="1:32" ht="18.75" x14ac:dyDescent="0.3">
      <c r="A1" s="8" t="s">
        <v>302</v>
      </c>
    </row>
    <row r="2" spans="1:32" x14ac:dyDescent="0.25">
      <c r="A2" s="22" t="s">
        <v>98</v>
      </c>
    </row>
    <row r="3" spans="1:32" x14ac:dyDescent="0.25">
      <c r="A3" s="1" t="s">
        <v>0</v>
      </c>
      <c r="B3" s="122" t="s">
        <v>1</v>
      </c>
      <c r="C3" s="122" t="s">
        <v>234</v>
      </c>
      <c r="D3" s="122" t="s">
        <v>2</v>
      </c>
      <c r="E3" s="122" t="s">
        <v>3</v>
      </c>
      <c r="F3" s="122" t="s">
        <v>243</v>
      </c>
      <c r="G3" s="122" t="s">
        <v>235</v>
      </c>
      <c r="H3" s="122" t="s">
        <v>5</v>
      </c>
      <c r="I3" s="122" t="s">
        <v>4</v>
      </c>
      <c r="J3" s="122" t="s">
        <v>6</v>
      </c>
      <c r="K3" s="122" t="s">
        <v>246</v>
      </c>
      <c r="L3" s="122" t="s">
        <v>7</v>
      </c>
      <c r="M3" s="122" t="s">
        <v>8</v>
      </c>
      <c r="N3" s="122" t="s">
        <v>9</v>
      </c>
      <c r="O3" s="122" t="s">
        <v>242</v>
      </c>
      <c r="P3" s="122" t="s">
        <v>10</v>
      </c>
      <c r="Q3" s="122" t="s">
        <v>11</v>
      </c>
      <c r="R3" s="122" t="s">
        <v>236</v>
      </c>
      <c r="S3" s="122" t="s">
        <v>245</v>
      </c>
      <c r="T3" s="122" t="s">
        <v>12</v>
      </c>
      <c r="U3" s="122" t="s">
        <v>237</v>
      </c>
      <c r="V3" s="122" t="s">
        <v>238</v>
      </c>
      <c r="W3" s="122" t="s">
        <v>241</v>
      </c>
      <c r="X3" s="122" t="s">
        <v>13</v>
      </c>
      <c r="Y3" s="122" t="s">
        <v>14</v>
      </c>
      <c r="Z3" s="122" t="s">
        <v>15</v>
      </c>
      <c r="AA3" s="147" t="s">
        <v>16</v>
      </c>
      <c r="AB3" s="122" t="s">
        <v>17</v>
      </c>
      <c r="AC3" s="121" t="s">
        <v>239</v>
      </c>
      <c r="AD3" s="121" t="s">
        <v>240</v>
      </c>
      <c r="AE3" s="121" t="s">
        <v>18</v>
      </c>
      <c r="AF3" s="122" t="s">
        <v>19</v>
      </c>
    </row>
    <row r="4" spans="1:32" ht="15" customHeight="1" x14ac:dyDescent="0.25">
      <c r="A4" s="20" t="s">
        <v>99</v>
      </c>
      <c r="B4" s="24">
        <v>66687</v>
      </c>
      <c r="C4" s="91">
        <v>143336</v>
      </c>
      <c r="D4" s="91">
        <v>2549137</v>
      </c>
      <c r="E4" s="91">
        <v>1920954</v>
      </c>
      <c r="F4" s="91">
        <v>254805</v>
      </c>
      <c r="G4" s="91">
        <v>1133410</v>
      </c>
      <c r="H4" s="91">
        <v>870413.04</v>
      </c>
      <c r="I4" s="91">
        <v>48158</v>
      </c>
      <c r="J4" s="91">
        <v>502614</v>
      </c>
      <c r="K4" s="135">
        <v>841667</v>
      </c>
      <c r="L4" s="91">
        <v>1638412</v>
      </c>
      <c r="M4" s="91">
        <v>4034874</v>
      </c>
      <c r="N4" s="91">
        <v>1089360</v>
      </c>
      <c r="O4" s="91">
        <v>101846</v>
      </c>
      <c r="P4" s="91">
        <v>261376</v>
      </c>
      <c r="Q4" s="91">
        <v>339717</v>
      </c>
      <c r="R4" s="91">
        <v>68606.48</v>
      </c>
      <c r="S4" s="135">
        <v>153169</v>
      </c>
      <c r="T4" s="24">
        <v>3293131</v>
      </c>
      <c r="U4" s="91">
        <v>38975</v>
      </c>
      <c r="V4" s="91">
        <v>66714</v>
      </c>
      <c r="W4" s="24">
        <v>1332279</v>
      </c>
      <c r="X4" s="135">
        <v>610393</v>
      </c>
      <c r="Y4" s="91">
        <v>984417</v>
      </c>
      <c r="Z4" s="91">
        <v>949407</v>
      </c>
      <c r="AA4" s="46">
        <f>770233</f>
        <v>770233</v>
      </c>
      <c r="AB4" s="91">
        <v>1660378</v>
      </c>
      <c r="AC4" s="91">
        <v>4973654</v>
      </c>
      <c r="AD4" s="91">
        <v>2697650</v>
      </c>
      <c r="AE4" s="91">
        <v>3850296.64</v>
      </c>
      <c r="AF4" s="91">
        <v>394233</v>
      </c>
    </row>
    <row r="5" spans="1:32" ht="15" customHeight="1" x14ac:dyDescent="0.25">
      <c r="A5" s="20" t="s">
        <v>100</v>
      </c>
      <c r="B5" s="24"/>
      <c r="C5" s="24"/>
      <c r="D5" s="24"/>
      <c r="E5" s="24"/>
      <c r="F5" s="24"/>
      <c r="G5" s="24"/>
      <c r="H5" s="24"/>
      <c r="I5" s="24"/>
      <c r="J5" s="24"/>
      <c r="K5" s="134"/>
      <c r="L5" s="24"/>
      <c r="M5" s="24"/>
      <c r="N5" s="24"/>
      <c r="O5" s="24"/>
      <c r="P5" s="24"/>
      <c r="Q5" s="24"/>
      <c r="R5" s="24"/>
      <c r="S5" s="134"/>
      <c r="T5" s="24"/>
      <c r="U5" s="24"/>
      <c r="V5" s="24"/>
      <c r="W5" s="24"/>
      <c r="X5" s="134"/>
      <c r="Y5" s="24"/>
      <c r="Z5" s="24"/>
      <c r="AA5" s="86"/>
      <c r="AB5" s="24"/>
      <c r="AC5" s="24"/>
      <c r="AD5" s="24"/>
      <c r="AE5" s="24"/>
      <c r="AF5" s="24"/>
    </row>
    <row r="6" spans="1:32" ht="15" customHeight="1" x14ac:dyDescent="0.25">
      <c r="A6" s="20" t="s">
        <v>102</v>
      </c>
      <c r="B6" s="24">
        <v>46821</v>
      </c>
      <c r="C6" s="91">
        <v>80164</v>
      </c>
      <c r="D6" s="91">
        <v>788439</v>
      </c>
      <c r="E6" s="91">
        <v>1510864</v>
      </c>
      <c r="F6" s="91">
        <v>205317</v>
      </c>
      <c r="G6" s="91">
        <v>700460</v>
      </c>
      <c r="H6" s="91">
        <v>775248.78</v>
      </c>
      <c r="I6" s="91">
        <v>33272</v>
      </c>
      <c r="J6" s="91">
        <v>71010</v>
      </c>
      <c r="K6" s="135">
        <v>619305</v>
      </c>
      <c r="L6" s="91">
        <v>1153634</v>
      </c>
      <c r="M6" s="91">
        <v>3297818</v>
      </c>
      <c r="N6" s="91">
        <v>727766</v>
      </c>
      <c r="O6" s="91">
        <v>92072</v>
      </c>
      <c r="P6" s="91">
        <v>207005</v>
      </c>
      <c r="Q6" s="91">
        <v>272361</v>
      </c>
      <c r="R6" s="91">
        <v>57335.58</v>
      </c>
      <c r="S6" s="135">
        <v>26861</v>
      </c>
      <c r="T6" s="24">
        <v>2694183</v>
      </c>
      <c r="U6" s="91">
        <v>33208</v>
      </c>
      <c r="V6" s="91">
        <v>44702</v>
      </c>
      <c r="W6" s="24">
        <v>1148976</v>
      </c>
      <c r="X6" s="135">
        <v>569320</v>
      </c>
      <c r="Y6" s="91">
        <v>945707</v>
      </c>
      <c r="Z6" s="91">
        <v>754495</v>
      </c>
      <c r="AA6" s="46">
        <v>62195</v>
      </c>
      <c r="AB6" s="91">
        <v>1309140</v>
      </c>
      <c r="AC6" s="91">
        <v>4509762</v>
      </c>
      <c r="AD6" s="91">
        <v>1657562</v>
      </c>
      <c r="AE6" s="91">
        <v>2428939.31</v>
      </c>
      <c r="AF6" s="91">
        <v>270506</v>
      </c>
    </row>
    <row r="7" spans="1:32" ht="15" customHeight="1" x14ac:dyDescent="0.25">
      <c r="A7" s="20" t="s">
        <v>103</v>
      </c>
      <c r="B7" s="24"/>
      <c r="C7" s="91">
        <v>3795</v>
      </c>
      <c r="D7" s="91">
        <v>83417</v>
      </c>
      <c r="E7" s="24"/>
      <c r="F7" s="24"/>
      <c r="G7" s="91">
        <v>249632</v>
      </c>
      <c r="H7" s="91">
        <v>35274.85</v>
      </c>
      <c r="I7" s="24">
        <v>796</v>
      </c>
      <c r="J7" s="91">
        <v>419658</v>
      </c>
      <c r="K7" s="135">
        <v>1061</v>
      </c>
      <c r="L7" s="24"/>
      <c r="M7" s="91">
        <v>4193</v>
      </c>
      <c r="N7" s="91">
        <v>286916</v>
      </c>
      <c r="O7" s="24"/>
      <c r="P7" s="24"/>
      <c r="Q7" s="24"/>
      <c r="R7" s="91">
        <v>7842.96</v>
      </c>
      <c r="S7" s="135">
        <v>108127</v>
      </c>
      <c r="T7" s="24">
        <v>672926</v>
      </c>
      <c r="U7" s="24"/>
      <c r="V7" s="91">
        <v>18122</v>
      </c>
      <c r="W7" s="24"/>
      <c r="X7" s="134"/>
      <c r="Y7" s="24"/>
      <c r="Z7" s="91">
        <v>93050</v>
      </c>
      <c r="AA7" s="46">
        <v>711292</v>
      </c>
      <c r="AB7" s="24"/>
      <c r="AC7" s="24"/>
      <c r="AD7" s="91">
        <v>619029</v>
      </c>
      <c r="AE7" s="91">
        <v>685344.27</v>
      </c>
      <c r="AF7" s="24"/>
    </row>
    <row r="8" spans="1:32" ht="30" customHeight="1" x14ac:dyDescent="0.25">
      <c r="A8" s="20" t="s">
        <v>101</v>
      </c>
      <c r="B8" s="24">
        <v>19866</v>
      </c>
      <c r="C8" s="91">
        <v>46732</v>
      </c>
      <c r="D8" s="91">
        <v>1665784</v>
      </c>
      <c r="E8" s="91">
        <v>285391</v>
      </c>
      <c r="F8" s="91">
        <v>29681</v>
      </c>
      <c r="G8" s="91">
        <v>170795</v>
      </c>
      <c r="H8" s="24"/>
      <c r="I8" s="91">
        <v>12808</v>
      </c>
      <c r="J8" s="24"/>
      <c r="K8" s="135">
        <v>186242</v>
      </c>
      <c r="L8" s="91">
        <v>484778</v>
      </c>
      <c r="M8" s="91">
        <v>725021</v>
      </c>
      <c r="N8" s="91">
        <v>74678</v>
      </c>
      <c r="O8" s="24">
        <v>15</v>
      </c>
      <c r="P8" s="24">
        <v>54151</v>
      </c>
      <c r="Q8" s="91">
        <v>67357</v>
      </c>
      <c r="R8" s="24"/>
      <c r="S8" s="134"/>
      <c r="T8" s="24">
        <v>17900</v>
      </c>
      <c r="U8" s="91">
        <v>2028</v>
      </c>
      <c r="V8" s="91">
        <v>341</v>
      </c>
      <c r="W8" s="24">
        <v>183303</v>
      </c>
      <c r="X8" s="135">
        <v>60517</v>
      </c>
      <c r="Y8" s="24"/>
      <c r="Z8" s="91">
        <v>37720</v>
      </c>
      <c r="AA8" s="86"/>
      <c r="AB8" s="91">
        <v>351239</v>
      </c>
      <c r="AC8" s="91">
        <v>611164</v>
      </c>
      <c r="AD8" s="91">
        <v>105520</v>
      </c>
      <c r="AE8" s="91">
        <v>725591.27</v>
      </c>
      <c r="AF8" s="91">
        <v>122568</v>
      </c>
    </row>
    <row r="9" spans="1:32" s="32" customFormat="1" ht="15" customHeight="1" x14ac:dyDescent="0.25">
      <c r="A9" s="14" t="s">
        <v>104</v>
      </c>
      <c r="B9" s="31"/>
      <c r="C9" s="31">
        <v>12645</v>
      </c>
      <c r="D9" s="31">
        <v>11498</v>
      </c>
      <c r="E9" s="31">
        <v>124699</v>
      </c>
      <c r="F9" s="31">
        <v>19807</v>
      </c>
      <c r="G9" s="31">
        <v>12522</v>
      </c>
      <c r="H9" s="31">
        <v>59889.41</v>
      </c>
      <c r="I9" s="31">
        <v>1282</v>
      </c>
      <c r="J9" s="31">
        <v>11946</v>
      </c>
      <c r="K9" s="141">
        <v>35059</v>
      </c>
      <c r="L9" s="31"/>
      <c r="M9" s="31">
        <v>7842</v>
      </c>
      <c r="N9" s="31"/>
      <c r="O9" s="31">
        <v>9759</v>
      </c>
      <c r="P9" s="31">
        <v>220</v>
      </c>
      <c r="Q9" s="31"/>
      <c r="R9" s="31">
        <v>3427.95</v>
      </c>
      <c r="S9" s="141">
        <v>18181</v>
      </c>
      <c r="T9" s="31">
        <v>-91877</v>
      </c>
      <c r="U9" s="141">
        <v>3739</v>
      </c>
      <c r="V9" s="141">
        <v>3549</v>
      </c>
      <c r="W9" s="141"/>
      <c r="X9" s="141">
        <v>-19444</v>
      </c>
      <c r="Y9" s="141">
        <v>38709</v>
      </c>
      <c r="Z9" s="31">
        <v>64142</v>
      </c>
      <c r="AA9" s="149"/>
      <c r="AB9" s="31"/>
      <c r="AC9" s="31">
        <v>-147272</v>
      </c>
      <c r="AD9" s="31">
        <v>315539</v>
      </c>
      <c r="AE9" s="31">
        <v>10421.790000000001</v>
      </c>
      <c r="AF9" s="31">
        <v>1159</v>
      </c>
    </row>
    <row r="10" spans="1:32" ht="15" customHeight="1" x14ac:dyDescent="0.25">
      <c r="A10" s="20" t="s">
        <v>105</v>
      </c>
      <c r="B10" s="24">
        <v>37760</v>
      </c>
      <c r="C10" s="91">
        <v>35169</v>
      </c>
      <c r="D10" s="91">
        <v>491113</v>
      </c>
      <c r="E10" s="91">
        <v>727291</v>
      </c>
      <c r="F10" s="91">
        <v>127995</v>
      </c>
      <c r="G10" s="91">
        <v>194775</v>
      </c>
      <c r="H10" s="91">
        <v>686847.16</v>
      </c>
      <c r="I10" s="91">
        <v>11865</v>
      </c>
      <c r="J10" s="91">
        <v>132142</v>
      </c>
      <c r="K10" s="135">
        <v>151703</v>
      </c>
      <c r="L10" s="91">
        <v>425091</v>
      </c>
      <c r="M10" s="91">
        <v>843374</v>
      </c>
      <c r="N10" s="91">
        <v>489979</v>
      </c>
      <c r="O10" s="24">
        <v>34674</v>
      </c>
      <c r="P10" s="24">
        <v>98208</v>
      </c>
      <c r="Q10" s="91">
        <v>66375</v>
      </c>
      <c r="R10" s="91">
        <v>41749.17</v>
      </c>
      <c r="S10" s="135">
        <v>119075</v>
      </c>
      <c r="T10" s="24">
        <v>345798</v>
      </c>
      <c r="U10" s="91">
        <v>8691</v>
      </c>
      <c r="V10" s="91">
        <v>20863</v>
      </c>
      <c r="W10" s="24">
        <v>361718</v>
      </c>
      <c r="X10" s="135">
        <v>162636</v>
      </c>
      <c r="Y10" s="91">
        <v>270064</v>
      </c>
      <c r="Z10" s="91">
        <v>170112</v>
      </c>
      <c r="AA10" s="46">
        <v>487624</v>
      </c>
      <c r="AB10" s="91">
        <v>413869</v>
      </c>
      <c r="AC10" s="91">
        <v>2020396</v>
      </c>
      <c r="AD10" s="91">
        <v>67753</v>
      </c>
      <c r="AE10" s="91">
        <v>268548.71000000002</v>
      </c>
      <c r="AF10" s="91">
        <v>107645</v>
      </c>
    </row>
    <row r="11" spans="1:32" ht="30" customHeight="1" x14ac:dyDescent="0.25">
      <c r="A11" s="20" t="s">
        <v>106</v>
      </c>
      <c r="B11" s="24">
        <v>7708</v>
      </c>
      <c r="C11" s="24"/>
      <c r="D11" s="24">
        <v>17030</v>
      </c>
      <c r="E11" s="91">
        <v>69742</v>
      </c>
      <c r="F11" s="91">
        <v>33663</v>
      </c>
      <c r="G11" s="91">
        <v>41179</v>
      </c>
      <c r="H11" s="91">
        <v>28861.24</v>
      </c>
      <c r="I11" s="91">
        <v>1352</v>
      </c>
      <c r="J11" s="91">
        <v>35318</v>
      </c>
      <c r="K11" s="134"/>
      <c r="L11" s="91">
        <v>79985</v>
      </c>
      <c r="M11" s="91">
        <v>38054</v>
      </c>
      <c r="N11" s="91">
        <v>186241</v>
      </c>
      <c r="O11" s="24">
        <v>21598</v>
      </c>
      <c r="P11" s="24">
        <v>16330</v>
      </c>
      <c r="Q11" s="91">
        <v>19729</v>
      </c>
      <c r="R11" s="91">
        <v>13466.65</v>
      </c>
      <c r="S11" s="135">
        <v>63110</v>
      </c>
      <c r="T11" s="24"/>
      <c r="U11" s="91">
        <v>2899</v>
      </c>
      <c r="V11" s="91">
        <v>5266</v>
      </c>
      <c r="W11" s="24">
        <v>133642</v>
      </c>
      <c r="X11" s="135">
        <v>15319</v>
      </c>
      <c r="Y11" s="91">
        <v>28294</v>
      </c>
      <c r="Z11" s="91">
        <v>23844</v>
      </c>
      <c r="AA11" s="46">
        <v>55627</v>
      </c>
      <c r="AB11" s="91">
        <v>70225</v>
      </c>
      <c r="AC11" s="91">
        <v>408436</v>
      </c>
      <c r="AD11" s="91">
        <v>322515</v>
      </c>
      <c r="AE11" s="91">
        <v>50608.2</v>
      </c>
      <c r="AF11" s="91">
        <v>12263</v>
      </c>
    </row>
    <row r="12" spans="1:32" s="32" customFormat="1" x14ac:dyDescent="0.25">
      <c r="A12" s="14" t="s">
        <v>107</v>
      </c>
      <c r="B12" s="31">
        <v>30052</v>
      </c>
      <c r="C12" s="31">
        <v>35169</v>
      </c>
      <c r="D12" s="31">
        <v>474083</v>
      </c>
      <c r="E12" s="31">
        <v>657549</v>
      </c>
      <c r="F12" s="31">
        <v>94332</v>
      </c>
      <c r="G12" s="31">
        <v>153596</v>
      </c>
      <c r="H12" s="31">
        <v>657985.92000000004</v>
      </c>
      <c r="I12" s="31">
        <v>10513</v>
      </c>
      <c r="J12" s="31">
        <v>96824</v>
      </c>
      <c r="K12" s="141">
        <v>151703</v>
      </c>
      <c r="L12" s="31">
        <v>345106</v>
      </c>
      <c r="M12" s="31">
        <v>805320</v>
      </c>
      <c r="N12" s="31">
        <v>303738</v>
      </c>
      <c r="O12" s="31">
        <v>13076</v>
      </c>
      <c r="P12" s="31">
        <v>81878</v>
      </c>
      <c r="Q12" s="31">
        <v>46645</v>
      </c>
      <c r="R12" s="31">
        <v>28282.52</v>
      </c>
      <c r="S12" s="141">
        <v>55965</v>
      </c>
      <c r="T12" s="31">
        <v>345798</v>
      </c>
      <c r="U12" s="31">
        <v>5792</v>
      </c>
      <c r="V12" s="31">
        <v>15597</v>
      </c>
      <c r="W12" s="31">
        <v>228076</v>
      </c>
      <c r="X12" s="141">
        <v>147317</v>
      </c>
      <c r="Y12" s="31">
        <v>241770</v>
      </c>
      <c r="Z12" s="31">
        <v>146268</v>
      </c>
      <c r="AA12" s="149">
        <v>428743</v>
      </c>
      <c r="AB12" s="31">
        <v>343644</v>
      </c>
      <c r="AC12" s="31">
        <v>1611960</v>
      </c>
      <c r="AD12" s="31">
        <v>-254762</v>
      </c>
      <c r="AE12" s="31">
        <v>217940.51</v>
      </c>
      <c r="AF12" s="31">
        <v>95382</v>
      </c>
    </row>
    <row r="13" spans="1:32" s="7" customFormat="1" ht="15" customHeight="1" x14ac:dyDescent="0.25">
      <c r="A13" s="3" t="s">
        <v>108</v>
      </c>
      <c r="B13" s="10">
        <v>30052</v>
      </c>
      <c r="C13" s="10">
        <v>47814</v>
      </c>
      <c r="D13" s="10">
        <v>485581</v>
      </c>
      <c r="E13" s="10">
        <v>782248</v>
      </c>
      <c r="F13" s="10">
        <v>114139</v>
      </c>
      <c r="G13" s="10">
        <v>166118</v>
      </c>
      <c r="H13" s="10">
        <v>717875.33</v>
      </c>
      <c r="I13" s="10">
        <v>11795</v>
      </c>
      <c r="J13" s="10">
        <v>108770</v>
      </c>
      <c r="K13" s="145">
        <v>186762</v>
      </c>
      <c r="L13" s="10">
        <v>345106</v>
      </c>
      <c r="M13" s="10">
        <v>813162</v>
      </c>
      <c r="N13" s="10">
        <v>303738</v>
      </c>
      <c r="O13" s="10">
        <v>22835</v>
      </c>
      <c r="P13" s="10">
        <v>82098</v>
      </c>
      <c r="Q13" s="10">
        <v>46645</v>
      </c>
      <c r="R13" s="10">
        <v>31710.47</v>
      </c>
      <c r="S13" s="145">
        <v>74146</v>
      </c>
      <c r="T13" s="10">
        <v>253920</v>
      </c>
      <c r="U13" s="10">
        <v>9532</v>
      </c>
      <c r="V13" s="10">
        <v>19146</v>
      </c>
      <c r="W13" s="10">
        <v>228076</v>
      </c>
      <c r="X13" s="10">
        <v>127872</v>
      </c>
      <c r="Y13" s="10">
        <v>280479</v>
      </c>
      <c r="Z13" s="10">
        <v>210410</v>
      </c>
      <c r="AA13" s="48">
        <v>428743</v>
      </c>
      <c r="AB13" s="10">
        <v>343643</v>
      </c>
      <c r="AC13" s="10">
        <v>1464688</v>
      </c>
      <c r="AD13" s="10">
        <v>60777</v>
      </c>
      <c r="AE13" s="10">
        <v>228362.3</v>
      </c>
      <c r="AF13" s="10">
        <v>96541</v>
      </c>
    </row>
    <row r="14" spans="1:32" s="7" customFormat="1" ht="14.25" customHeight="1" x14ac:dyDescent="0.25">
      <c r="A14" s="3" t="s">
        <v>109</v>
      </c>
      <c r="B14" s="10">
        <v>17867</v>
      </c>
      <c r="C14" s="10">
        <v>26961</v>
      </c>
      <c r="D14" s="10">
        <v>198023</v>
      </c>
      <c r="E14" s="10">
        <v>227477</v>
      </c>
      <c r="F14" s="10">
        <v>61768</v>
      </c>
      <c r="G14" s="10">
        <v>85395</v>
      </c>
      <c r="H14" s="10">
        <v>23891.29</v>
      </c>
      <c r="I14" s="10">
        <v>7076</v>
      </c>
      <c r="J14" s="10">
        <v>65486</v>
      </c>
      <c r="K14" s="145">
        <v>92826</v>
      </c>
      <c r="L14" s="10">
        <v>210116</v>
      </c>
      <c r="M14" s="10">
        <v>329916</v>
      </c>
      <c r="N14" s="10">
        <v>181276</v>
      </c>
      <c r="O14" s="10">
        <v>12734</v>
      </c>
      <c r="P14" s="10">
        <v>28628</v>
      </c>
      <c r="Q14" s="10">
        <v>26439</v>
      </c>
      <c r="R14" s="10">
        <v>18851.509999999998</v>
      </c>
      <c r="S14" s="145">
        <v>43153</v>
      </c>
      <c r="T14" s="10">
        <v>403628</v>
      </c>
      <c r="U14" s="10">
        <v>5000</v>
      </c>
      <c r="V14" s="10">
        <v>8608</v>
      </c>
      <c r="W14" s="10">
        <v>137337</v>
      </c>
      <c r="X14" s="10">
        <v>61023</v>
      </c>
      <c r="Y14" s="10">
        <v>151770</v>
      </c>
      <c r="Z14" s="10">
        <v>45582</v>
      </c>
      <c r="AA14" s="48">
        <v>256200</v>
      </c>
      <c r="AB14" s="10">
        <v>174193</v>
      </c>
      <c r="AC14" s="10">
        <v>884244</v>
      </c>
      <c r="AD14" s="10">
        <v>416725</v>
      </c>
      <c r="AE14" s="10">
        <v>449614</v>
      </c>
      <c r="AF14" s="10">
        <v>50258</v>
      </c>
    </row>
    <row r="15" spans="1:32" s="128" customFormat="1" ht="14.25" customHeight="1" x14ac:dyDescent="0.25">
      <c r="A15" s="126" t="s">
        <v>110</v>
      </c>
      <c r="B15" s="127">
        <v>1.68</v>
      </c>
      <c r="C15" s="127">
        <v>1.77</v>
      </c>
      <c r="D15" s="127">
        <v>2.4500000000000002</v>
      </c>
      <c r="E15" s="127">
        <v>3.44</v>
      </c>
      <c r="F15" s="127">
        <v>1.85</v>
      </c>
      <c r="G15" s="127">
        <v>1.95</v>
      </c>
      <c r="H15" s="127">
        <v>30.05</v>
      </c>
      <c r="I15" s="127">
        <v>1.67</v>
      </c>
      <c r="J15" s="127">
        <v>1.66</v>
      </c>
      <c r="K15" s="146">
        <v>2.0099999999999998</v>
      </c>
      <c r="L15" s="127">
        <v>1.6419999999999999</v>
      </c>
      <c r="M15" s="127">
        <v>2.46</v>
      </c>
      <c r="N15" s="127">
        <v>1.68</v>
      </c>
      <c r="O15" s="127">
        <v>1.79</v>
      </c>
      <c r="P15" s="127">
        <v>2.87</v>
      </c>
      <c r="Q15" s="127">
        <v>1.76</v>
      </c>
      <c r="R15" s="127">
        <v>1.6820999999999999</v>
      </c>
      <c r="S15" s="146">
        <v>1.72</v>
      </c>
      <c r="T15" s="127">
        <v>0.63</v>
      </c>
      <c r="U15" s="127">
        <v>1.91</v>
      </c>
      <c r="V15" s="127">
        <v>2.2200000000000002</v>
      </c>
      <c r="W15" s="127">
        <v>1.66</v>
      </c>
      <c r="X15" s="127">
        <v>2.1</v>
      </c>
      <c r="Y15" s="127">
        <v>1.85</v>
      </c>
      <c r="Z15" s="127">
        <v>4.62</v>
      </c>
      <c r="AA15" s="150">
        <v>1.67</v>
      </c>
      <c r="AB15" s="127">
        <v>1.97</v>
      </c>
      <c r="AC15" s="127">
        <v>1.66</v>
      </c>
      <c r="AD15" s="127">
        <v>0.15</v>
      </c>
      <c r="AE15" s="127">
        <v>0.51</v>
      </c>
      <c r="AF15" s="127">
        <v>1.92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38" bestFit="1" customWidth="1"/>
    <col min="2" max="2" width="12.85546875" style="6" customWidth="1"/>
    <col min="3" max="5" width="12.85546875" style="38" customWidth="1"/>
    <col min="6" max="6" width="12.85546875" style="41" customWidth="1"/>
    <col min="7" max="7" width="12.85546875" style="71" customWidth="1"/>
    <col min="8" max="10" width="12.85546875" style="38" customWidth="1"/>
    <col min="11" max="11" width="12.85546875" style="41" customWidth="1"/>
    <col min="12" max="12" width="12.85546875" style="71" customWidth="1"/>
    <col min="13" max="16" width="12.85546875" style="38" customWidth="1"/>
    <col min="17" max="17" width="12.85546875" style="6" customWidth="1"/>
    <col min="18" max="20" width="12.85546875" style="38" customWidth="1"/>
    <col min="21" max="21" width="12.85546875" style="41" customWidth="1"/>
    <col min="22" max="22" width="12.85546875" style="6" customWidth="1"/>
    <col min="23" max="25" width="12.85546875" style="38" customWidth="1"/>
    <col min="26" max="26" width="12.85546875" style="41" customWidth="1"/>
    <col min="27" max="27" width="12.85546875" style="6" customWidth="1"/>
    <col min="28" max="30" width="12.85546875" style="38" customWidth="1"/>
    <col min="31" max="31" width="12.85546875" style="41" customWidth="1"/>
    <col min="32" max="35" width="12.85546875" style="38" customWidth="1"/>
    <col min="36" max="36" width="12.85546875" style="41" customWidth="1"/>
    <col min="37" max="37" width="12.85546875" style="6" customWidth="1"/>
    <col min="38" max="40" width="12.85546875" style="38" customWidth="1"/>
    <col min="41" max="41" width="12.85546875" style="41" customWidth="1"/>
    <col min="42" max="42" width="12.85546875" style="6" customWidth="1"/>
    <col min="43" max="45" width="12.85546875" style="38" customWidth="1"/>
    <col min="46" max="46" width="12.85546875" style="41" customWidth="1"/>
    <col min="47" max="47" width="12.85546875" style="6" customWidth="1"/>
    <col min="48" max="50" width="12.85546875" style="38" customWidth="1"/>
    <col min="51" max="51" width="12.85546875" style="41" customWidth="1"/>
    <col min="52" max="52" width="12.85546875" style="6" customWidth="1"/>
    <col min="53" max="55" width="12.85546875" style="38" customWidth="1"/>
    <col min="56" max="56" width="12.85546875" style="41" customWidth="1"/>
    <col min="57" max="57" width="12.85546875" style="6" customWidth="1"/>
    <col min="58" max="60" width="12.85546875" style="38" customWidth="1"/>
    <col min="61" max="61" width="12.85546875" style="41" customWidth="1"/>
    <col min="62" max="62" width="12.85546875" style="71" customWidth="1"/>
    <col min="63" max="65" width="12.85546875" style="38" customWidth="1"/>
    <col min="66" max="66" width="12.85546875" style="41" customWidth="1"/>
    <col min="67" max="67" width="12.85546875" style="6" customWidth="1"/>
    <col min="68" max="70" width="12.85546875" style="38" customWidth="1"/>
    <col min="71" max="71" width="12.85546875" style="41" customWidth="1"/>
    <col min="72" max="72" width="12.85546875" style="6" customWidth="1"/>
    <col min="73" max="75" width="12.85546875" style="38" customWidth="1"/>
    <col min="76" max="76" width="12.85546875" style="41" customWidth="1"/>
    <col min="77" max="77" width="12.85546875" style="71" customWidth="1"/>
    <col min="78" max="80" width="12.85546875" style="38" customWidth="1"/>
    <col min="81" max="81" width="12.85546875" style="41" customWidth="1"/>
    <col min="82" max="82" width="12.85546875" style="6" customWidth="1"/>
    <col min="83" max="85" width="12.85546875" style="38" customWidth="1"/>
    <col min="86" max="86" width="12.85546875" style="41" customWidth="1"/>
    <col min="87" max="87" width="12.85546875" style="6" customWidth="1"/>
    <col min="88" max="90" width="12.85546875" style="38" customWidth="1"/>
    <col min="91" max="91" width="12.85546875" style="41" customWidth="1"/>
    <col min="92" max="92" width="12.85546875" style="71" customWidth="1"/>
    <col min="93" max="96" width="12.85546875" style="38" customWidth="1"/>
    <col min="97" max="97" width="12.85546875" style="6" customWidth="1"/>
    <col min="98" max="100" width="12.85546875" style="38" customWidth="1"/>
    <col min="101" max="101" width="12.85546875" style="41" customWidth="1"/>
    <col min="102" max="102" width="12.85546875" style="71" customWidth="1"/>
    <col min="103" max="106" width="12.85546875" style="38" customWidth="1"/>
    <col min="107" max="107" width="12.85546875" style="6" customWidth="1"/>
    <col min="108" max="111" width="12.85546875" style="38" customWidth="1"/>
    <col min="112" max="112" width="12.85546875" style="6" customWidth="1"/>
    <col min="113" max="115" width="12.85546875" style="38" customWidth="1"/>
    <col min="116" max="116" width="12.85546875" style="41" customWidth="1"/>
    <col min="117" max="117" width="12.85546875" style="59" customWidth="1"/>
    <col min="118" max="121" width="12.85546875" style="41" customWidth="1"/>
    <col min="122" max="122" width="12.85546875" style="6" customWidth="1"/>
    <col min="123" max="126" width="12.85546875" style="38" customWidth="1"/>
    <col min="127" max="127" width="12.85546875" style="6" customWidth="1"/>
    <col min="128" max="130" width="12.85546875" style="38" customWidth="1"/>
    <col min="131" max="131" width="12.85546875" style="41" customWidth="1"/>
    <col min="132" max="132" width="12.85546875" style="6" customWidth="1"/>
    <col min="133" max="135" width="12.85546875" style="38" customWidth="1"/>
    <col min="136" max="136" width="12.85546875" style="41" customWidth="1"/>
    <col min="137" max="137" width="12.85546875" style="6" customWidth="1"/>
    <col min="138" max="140" width="12.85546875" style="38" customWidth="1"/>
    <col min="141" max="141" width="12.85546875" style="41" customWidth="1"/>
    <col min="142" max="145" width="12.85546875" style="38" customWidth="1"/>
    <col min="146" max="146" width="12.85546875" style="41" customWidth="1"/>
    <col min="147" max="147" width="12.85546875" style="6" customWidth="1"/>
    <col min="148" max="150" width="12.85546875" style="38" customWidth="1"/>
    <col min="151" max="151" width="12.85546875" style="41" customWidth="1"/>
    <col min="152" max="152" width="12.85546875" style="6" customWidth="1"/>
    <col min="153" max="155" width="12.85546875" style="38" customWidth="1"/>
    <col min="156" max="156" width="12.85546875" style="41" customWidth="1"/>
    <col min="157" max="16384" width="9.140625" style="38"/>
  </cols>
  <sheetData>
    <row r="1" spans="1:156" ht="53.25" x14ac:dyDescent="0.25">
      <c r="A1" s="51" t="s">
        <v>265</v>
      </c>
    </row>
    <row r="2" spans="1:156" x14ac:dyDescent="0.25">
      <c r="A2" s="39" t="s">
        <v>0</v>
      </c>
      <c r="B2" s="167" t="s">
        <v>1</v>
      </c>
      <c r="C2" s="167"/>
      <c r="D2" s="167"/>
      <c r="E2" s="167"/>
      <c r="F2" s="167"/>
      <c r="G2" s="167" t="s">
        <v>234</v>
      </c>
      <c r="H2" s="167"/>
      <c r="I2" s="167"/>
      <c r="J2" s="167"/>
      <c r="K2" s="167"/>
      <c r="L2" s="167" t="s">
        <v>2</v>
      </c>
      <c r="M2" s="167"/>
      <c r="N2" s="167"/>
      <c r="O2" s="167"/>
      <c r="P2" s="167"/>
      <c r="Q2" s="167" t="s">
        <v>3</v>
      </c>
      <c r="R2" s="167"/>
      <c r="S2" s="167"/>
      <c r="T2" s="167"/>
      <c r="U2" s="167"/>
      <c r="V2" s="167" t="s">
        <v>243</v>
      </c>
      <c r="W2" s="167"/>
      <c r="X2" s="167"/>
      <c r="Y2" s="167"/>
      <c r="Z2" s="167"/>
      <c r="AA2" s="168" t="s">
        <v>235</v>
      </c>
      <c r="AB2" s="169"/>
      <c r="AC2" s="169"/>
      <c r="AD2" s="169"/>
      <c r="AE2" s="170"/>
      <c r="AF2" s="168" t="s">
        <v>5</v>
      </c>
      <c r="AG2" s="169"/>
      <c r="AH2" s="169"/>
      <c r="AI2" s="169"/>
      <c r="AJ2" s="170"/>
      <c r="AK2" s="168" t="s">
        <v>4</v>
      </c>
      <c r="AL2" s="169"/>
      <c r="AM2" s="169"/>
      <c r="AN2" s="169"/>
      <c r="AO2" s="170"/>
      <c r="AP2" s="168" t="s">
        <v>6</v>
      </c>
      <c r="AQ2" s="169"/>
      <c r="AR2" s="169"/>
      <c r="AS2" s="169"/>
      <c r="AT2" s="170"/>
      <c r="AU2" s="168" t="s">
        <v>246</v>
      </c>
      <c r="AV2" s="169"/>
      <c r="AW2" s="169"/>
      <c r="AX2" s="169"/>
      <c r="AY2" s="170"/>
      <c r="AZ2" s="168" t="s">
        <v>7</v>
      </c>
      <c r="BA2" s="169"/>
      <c r="BB2" s="169"/>
      <c r="BC2" s="169"/>
      <c r="BD2" s="170"/>
      <c r="BE2" s="168" t="s">
        <v>8</v>
      </c>
      <c r="BF2" s="169"/>
      <c r="BG2" s="169"/>
      <c r="BH2" s="169"/>
      <c r="BI2" s="170"/>
      <c r="BJ2" s="168" t="s">
        <v>9</v>
      </c>
      <c r="BK2" s="169"/>
      <c r="BL2" s="169"/>
      <c r="BM2" s="169"/>
      <c r="BN2" s="170"/>
      <c r="BO2" s="168" t="s">
        <v>242</v>
      </c>
      <c r="BP2" s="169"/>
      <c r="BQ2" s="169"/>
      <c r="BR2" s="169"/>
      <c r="BS2" s="170"/>
      <c r="BT2" s="168" t="s">
        <v>10</v>
      </c>
      <c r="BU2" s="169"/>
      <c r="BV2" s="169"/>
      <c r="BW2" s="169"/>
      <c r="BX2" s="170"/>
      <c r="BY2" s="168" t="s">
        <v>11</v>
      </c>
      <c r="BZ2" s="169"/>
      <c r="CA2" s="169"/>
      <c r="CB2" s="169"/>
      <c r="CC2" s="170"/>
      <c r="CD2" s="168" t="s">
        <v>236</v>
      </c>
      <c r="CE2" s="169"/>
      <c r="CF2" s="169"/>
      <c r="CG2" s="169"/>
      <c r="CH2" s="170"/>
      <c r="CI2" s="168" t="s">
        <v>245</v>
      </c>
      <c r="CJ2" s="169"/>
      <c r="CK2" s="169"/>
      <c r="CL2" s="169"/>
      <c r="CM2" s="170"/>
      <c r="CN2" s="168" t="s">
        <v>12</v>
      </c>
      <c r="CO2" s="169"/>
      <c r="CP2" s="169"/>
      <c r="CQ2" s="169"/>
      <c r="CR2" s="170"/>
      <c r="CS2" s="168" t="s">
        <v>237</v>
      </c>
      <c r="CT2" s="169"/>
      <c r="CU2" s="169"/>
      <c r="CV2" s="169"/>
      <c r="CW2" s="170"/>
      <c r="CX2" s="168" t="s">
        <v>238</v>
      </c>
      <c r="CY2" s="169"/>
      <c r="CZ2" s="169"/>
      <c r="DA2" s="169"/>
      <c r="DB2" s="170"/>
      <c r="DC2" s="168" t="s">
        <v>241</v>
      </c>
      <c r="DD2" s="169"/>
      <c r="DE2" s="169"/>
      <c r="DF2" s="169"/>
      <c r="DG2" s="170"/>
      <c r="DH2" s="167" t="s">
        <v>13</v>
      </c>
      <c r="DI2" s="167"/>
      <c r="DJ2" s="167"/>
      <c r="DK2" s="167"/>
      <c r="DL2" s="167"/>
      <c r="DM2" s="167" t="s">
        <v>14</v>
      </c>
      <c r="DN2" s="167"/>
      <c r="DO2" s="167"/>
      <c r="DP2" s="167"/>
      <c r="DQ2" s="167"/>
      <c r="DR2" s="167" t="s">
        <v>15</v>
      </c>
      <c r="DS2" s="167"/>
      <c r="DT2" s="167"/>
      <c r="DU2" s="167"/>
      <c r="DV2" s="167"/>
      <c r="DW2" s="167" t="s">
        <v>16</v>
      </c>
      <c r="DX2" s="167"/>
      <c r="DY2" s="167"/>
      <c r="DZ2" s="167"/>
      <c r="EA2" s="167"/>
      <c r="EB2" s="167" t="s">
        <v>17</v>
      </c>
      <c r="EC2" s="167"/>
      <c r="ED2" s="167"/>
      <c r="EE2" s="167"/>
      <c r="EF2" s="167"/>
      <c r="EG2" s="167" t="s">
        <v>239</v>
      </c>
      <c r="EH2" s="167"/>
      <c r="EI2" s="167"/>
      <c r="EJ2" s="167"/>
      <c r="EK2" s="167"/>
      <c r="EL2" s="167" t="s">
        <v>240</v>
      </c>
      <c r="EM2" s="167"/>
      <c r="EN2" s="167"/>
      <c r="EO2" s="167"/>
      <c r="EP2" s="167"/>
      <c r="EQ2" s="167" t="s">
        <v>18</v>
      </c>
      <c r="ER2" s="167"/>
      <c r="ES2" s="167"/>
      <c r="ET2" s="167"/>
      <c r="EU2" s="167"/>
      <c r="EV2" s="167" t="s">
        <v>19</v>
      </c>
      <c r="EW2" s="167"/>
      <c r="EX2" s="167"/>
      <c r="EY2" s="167"/>
      <c r="EZ2" s="167"/>
    </row>
    <row r="3" spans="1:156" ht="15" customHeight="1" x14ac:dyDescent="0.25">
      <c r="A3" s="165" t="s">
        <v>146</v>
      </c>
      <c r="B3" s="164" t="s">
        <v>140</v>
      </c>
      <c r="C3" s="165" t="s">
        <v>141</v>
      </c>
      <c r="D3" s="165"/>
      <c r="E3" s="165"/>
      <c r="F3" s="166" t="s">
        <v>142</v>
      </c>
      <c r="G3" s="164" t="s">
        <v>140</v>
      </c>
      <c r="H3" s="165" t="s">
        <v>141</v>
      </c>
      <c r="I3" s="165"/>
      <c r="J3" s="165"/>
      <c r="K3" s="166" t="s">
        <v>142</v>
      </c>
      <c r="L3" s="164" t="s">
        <v>140</v>
      </c>
      <c r="M3" s="165" t="s">
        <v>141</v>
      </c>
      <c r="N3" s="165"/>
      <c r="O3" s="165"/>
      <c r="P3" s="165" t="s">
        <v>142</v>
      </c>
      <c r="Q3" s="164" t="s">
        <v>140</v>
      </c>
      <c r="R3" s="165" t="s">
        <v>141</v>
      </c>
      <c r="S3" s="165"/>
      <c r="T3" s="165"/>
      <c r="U3" s="166" t="s">
        <v>142</v>
      </c>
      <c r="V3" s="164" t="s">
        <v>140</v>
      </c>
      <c r="W3" s="165" t="s">
        <v>141</v>
      </c>
      <c r="X3" s="165"/>
      <c r="Y3" s="165"/>
      <c r="Z3" s="166" t="s">
        <v>142</v>
      </c>
      <c r="AA3" s="164" t="s">
        <v>140</v>
      </c>
      <c r="AB3" s="165" t="s">
        <v>141</v>
      </c>
      <c r="AC3" s="165"/>
      <c r="AD3" s="165"/>
      <c r="AE3" s="166" t="s">
        <v>142</v>
      </c>
      <c r="AF3" s="165" t="s">
        <v>140</v>
      </c>
      <c r="AG3" s="165" t="s">
        <v>141</v>
      </c>
      <c r="AH3" s="165"/>
      <c r="AI3" s="165"/>
      <c r="AJ3" s="166" t="s">
        <v>142</v>
      </c>
      <c r="AK3" s="164" t="s">
        <v>140</v>
      </c>
      <c r="AL3" s="165" t="s">
        <v>141</v>
      </c>
      <c r="AM3" s="165"/>
      <c r="AN3" s="165"/>
      <c r="AO3" s="166" t="s">
        <v>142</v>
      </c>
      <c r="AP3" s="164" t="s">
        <v>140</v>
      </c>
      <c r="AQ3" s="165" t="s">
        <v>141</v>
      </c>
      <c r="AR3" s="165"/>
      <c r="AS3" s="165"/>
      <c r="AT3" s="166" t="s">
        <v>142</v>
      </c>
      <c r="AU3" s="164" t="s">
        <v>140</v>
      </c>
      <c r="AV3" s="165" t="s">
        <v>141</v>
      </c>
      <c r="AW3" s="165"/>
      <c r="AX3" s="165"/>
      <c r="AY3" s="166" t="s">
        <v>142</v>
      </c>
      <c r="AZ3" s="164" t="s">
        <v>140</v>
      </c>
      <c r="BA3" s="165" t="s">
        <v>141</v>
      </c>
      <c r="BB3" s="165"/>
      <c r="BC3" s="165"/>
      <c r="BD3" s="166" t="s">
        <v>142</v>
      </c>
      <c r="BE3" s="164" t="s">
        <v>140</v>
      </c>
      <c r="BF3" s="165" t="s">
        <v>141</v>
      </c>
      <c r="BG3" s="165"/>
      <c r="BH3" s="165"/>
      <c r="BI3" s="166" t="s">
        <v>142</v>
      </c>
      <c r="BJ3" s="164" t="s">
        <v>140</v>
      </c>
      <c r="BK3" s="165" t="s">
        <v>141</v>
      </c>
      <c r="BL3" s="165"/>
      <c r="BM3" s="165"/>
      <c r="BN3" s="166" t="s">
        <v>142</v>
      </c>
      <c r="BO3" s="164" t="s">
        <v>140</v>
      </c>
      <c r="BP3" s="165" t="s">
        <v>141</v>
      </c>
      <c r="BQ3" s="165"/>
      <c r="BR3" s="165"/>
      <c r="BS3" s="166" t="s">
        <v>142</v>
      </c>
      <c r="BT3" s="164" t="s">
        <v>140</v>
      </c>
      <c r="BU3" s="165" t="s">
        <v>141</v>
      </c>
      <c r="BV3" s="165"/>
      <c r="BW3" s="165"/>
      <c r="BX3" s="166" t="s">
        <v>142</v>
      </c>
      <c r="BY3" s="164" t="s">
        <v>140</v>
      </c>
      <c r="BZ3" s="165" t="s">
        <v>141</v>
      </c>
      <c r="CA3" s="165"/>
      <c r="CB3" s="165"/>
      <c r="CC3" s="166" t="s">
        <v>142</v>
      </c>
      <c r="CD3" s="164" t="s">
        <v>140</v>
      </c>
      <c r="CE3" s="165" t="s">
        <v>141</v>
      </c>
      <c r="CF3" s="165"/>
      <c r="CG3" s="165"/>
      <c r="CH3" s="166" t="s">
        <v>142</v>
      </c>
      <c r="CI3" s="164" t="s">
        <v>140</v>
      </c>
      <c r="CJ3" s="165" t="s">
        <v>141</v>
      </c>
      <c r="CK3" s="165"/>
      <c r="CL3" s="165"/>
      <c r="CM3" s="166" t="s">
        <v>142</v>
      </c>
      <c r="CN3" s="164" t="s">
        <v>140</v>
      </c>
      <c r="CO3" s="165" t="s">
        <v>141</v>
      </c>
      <c r="CP3" s="165"/>
      <c r="CQ3" s="165"/>
      <c r="CR3" s="171" t="s">
        <v>142</v>
      </c>
      <c r="CS3" s="164" t="s">
        <v>140</v>
      </c>
      <c r="CT3" s="165" t="s">
        <v>141</v>
      </c>
      <c r="CU3" s="165"/>
      <c r="CV3" s="165"/>
      <c r="CW3" s="166" t="s">
        <v>142</v>
      </c>
      <c r="CX3" s="164" t="s">
        <v>140</v>
      </c>
      <c r="CY3" s="165" t="s">
        <v>141</v>
      </c>
      <c r="CZ3" s="165"/>
      <c r="DA3" s="165"/>
      <c r="DB3" s="171" t="s">
        <v>142</v>
      </c>
      <c r="DC3" s="164" t="s">
        <v>140</v>
      </c>
      <c r="DD3" s="165" t="s">
        <v>141</v>
      </c>
      <c r="DE3" s="165"/>
      <c r="DF3" s="165"/>
      <c r="DG3" s="171" t="s">
        <v>142</v>
      </c>
      <c r="DH3" s="164" t="s">
        <v>140</v>
      </c>
      <c r="DI3" s="165" t="s">
        <v>141</v>
      </c>
      <c r="DJ3" s="165"/>
      <c r="DK3" s="165"/>
      <c r="DL3" s="166" t="s">
        <v>142</v>
      </c>
      <c r="DM3" s="164" t="s">
        <v>140</v>
      </c>
      <c r="DN3" s="165" t="s">
        <v>141</v>
      </c>
      <c r="DO3" s="165"/>
      <c r="DP3" s="165"/>
      <c r="DQ3" s="166" t="s">
        <v>142</v>
      </c>
      <c r="DR3" s="164" t="s">
        <v>140</v>
      </c>
      <c r="DS3" s="165" t="s">
        <v>141</v>
      </c>
      <c r="DT3" s="165"/>
      <c r="DU3" s="165"/>
      <c r="DV3" s="171" t="s">
        <v>142</v>
      </c>
      <c r="DW3" s="164" t="s">
        <v>140</v>
      </c>
      <c r="DX3" s="165" t="s">
        <v>141</v>
      </c>
      <c r="DY3" s="165"/>
      <c r="DZ3" s="165"/>
      <c r="EA3" s="166" t="s">
        <v>142</v>
      </c>
      <c r="EB3" s="164" t="s">
        <v>140</v>
      </c>
      <c r="EC3" s="165" t="s">
        <v>141</v>
      </c>
      <c r="ED3" s="165"/>
      <c r="EE3" s="165"/>
      <c r="EF3" s="166" t="s">
        <v>142</v>
      </c>
      <c r="EG3" s="164" t="s">
        <v>140</v>
      </c>
      <c r="EH3" s="165" t="s">
        <v>141</v>
      </c>
      <c r="EI3" s="165"/>
      <c r="EJ3" s="165"/>
      <c r="EK3" s="166" t="s">
        <v>142</v>
      </c>
      <c r="EL3" s="165" t="s">
        <v>140</v>
      </c>
      <c r="EM3" s="165" t="s">
        <v>141</v>
      </c>
      <c r="EN3" s="165"/>
      <c r="EO3" s="165"/>
      <c r="EP3" s="166" t="s">
        <v>142</v>
      </c>
      <c r="EQ3" s="164" t="s">
        <v>140</v>
      </c>
      <c r="ER3" s="165" t="s">
        <v>141</v>
      </c>
      <c r="ES3" s="165"/>
      <c r="ET3" s="165"/>
      <c r="EU3" s="166" t="s">
        <v>142</v>
      </c>
      <c r="EV3" s="164" t="s">
        <v>140</v>
      </c>
      <c r="EW3" s="165" t="s">
        <v>141</v>
      </c>
      <c r="EX3" s="165"/>
      <c r="EY3" s="165"/>
      <c r="EZ3" s="166" t="s">
        <v>142</v>
      </c>
    </row>
    <row r="4" spans="1:156" ht="30" x14ac:dyDescent="0.25">
      <c r="A4" s="165"/>
      <c r="B4" s="164"/>
      <c r="C4" s="16" t="s">
        <v>143</v>
      </c>
      <c r="D4" s="16" t="s">
        <v>144</v>
      </c>
      <c r="E4" s="16" t="s">
        <v>145</v>
      </c>
      <c r="F4" s="166"/>
      <c r="G4" s="164"/>
      <c r="H4" s="16" t="s">
        <v>143</v>
      </c>
      <c r="I4" s="16" t="s">
        <v>144</v>
      </c>
      <c r="J4" s="16" t="s">
        <v>145</v>
      </c>
      <c r="K4" s="166"/>
      <c r="L4" s="164"/>
      <c r="M4" s="16" t="s">
        <v>143</v>
      </c>
      <c r="N4" s="16" t="s">
        <v>144</v>
      </c>
      <c r="O4" s="16" t="s">
        <v>145</v>
      </c>
      <c r="P4" s="165"/>
      <c r="Q4" s="164"/>
      <c r="R4" s="16" t="s">
        <v>143</v>
      </c>
      <c r="S4" s="16" t="s">
        <v>144</v>
      </c>
      <c r="T4" s="16" t="s">
        <v>145</v>
      </c>
      <c r="U4" s="166"/>
      <c r="V4" s="164"/>
      <c r="W4" s="16" t="s">
        <v>143</v>
      </c>
      <c r="X4" s="16" t="s">
        <v>144</v>
      </c>
      <c r="Y4" s="16" t="s">
        <v>145</v>
      </c>
      <c r="Z4" s="166"/>
      <c r="AA4" s="164"/>
      <c r="AB4" s="16" t="s">
        <v>143</v>
      </c>
      <c r="AC4" s="16" t="s">
        <v>144</v>
      </c>
      <c r="AD4" s="16" t="s">
        <v>145</v>
      </c>
      <c r="AE4" s="166"/>
      <c r="AF4" s="165"/>
      <c r="AG4" s="16" t="s">
        <v>143</v>
      </c>
      <c r="AH4" s="16" t="s">
        <v>144</v>
      </c>
      <c r="AI4" s="16" t="s">
        <v>145</v>
      </c>
      <c r="AJ4" s="166"/>
      <c r="AK4" s="164"/>
      <c r="AL4" s="16" t="s">
        <v>143</v>
      </c>
      <c r="AM4" s="16" t="s">
        <v>144</v>
      </c>
      <c r="AN4" s="16" t="s">
        <v>145</v>
      </c>
      <c r="AO4" s="166"/>
      <c r="AP4" s="164"/>
      <c r="AQ4" s="16" t="s">
        <v>143</v>
      </c>
      <c r="AR4" s="16" t="s">
        <v>144</v>
      </c>
      <c r="AS4" s="16" t="s">
        <v>145</v>
      </c>
      <c r="AT4" s="166"/>
      <c r="AU4" s="164"/>
      <c r="AV4" s="16" t="s">
        <v>143</v>
      </c>
      <c r="AW4" s="16" t="s">
        <v>144</v>
      </c>
      <c r="AX4" s="16" t="s">
        <v>145</v>
      </c>
      <c r="AY4" s="166"/>
      <c r="AZ4" s="164"/>
      <c r="BA4" s="16" t="s">
        <v>143</v>
      </c>
      <c r="BB4" s="16" t="s">
        <v>144</v>
      </c>
      <c r="BC4" s="16" t="s">
        <v>145</v>
      </c>
      <c r="BD4" s="166"/>
      <c r="BE4" s="164"/>
      <c r="BF4" s="16" t="s">
        <v>143</v>
      </c>
      <c r="BG4" s="16" t="s">
        <v>144</v>
      </c>
      <c r="BH4" s="16" t="s">
        <v>145</v>
      </c>
      <c r="BI4" s="166"/>
      <c r="BJ4" s="164"/>
      <c r="BK4" s="16" t="s">
        <v>143</v>
      </c>
      <c r="BL4" s="16" t="s">
        <v>144</v>
      </c>
      <c r="BM4" s="16" t="s">
        <v>145</v>
      </c>
      <c r="BN4" s="166"/>
      <c r="BO4" s="164"/>
      <c r="BP4" s="16" t="s">
        <v>143</v>
      </c>
      <c r="BQ4" s="16" t="s">
        <v>144</v>
      </c>
      <c r="BR4" s="16" t="s">
        <v>145</v>
      </c>
      <c r="BS4" s="166"/>
      <c r="BT4" s="164"/>
      <c r="BU4" s="16" t="s">
        <v>143</v>
      </c>
      <c r="BV4" s="16" t="s">
        <v>144</v>
      </c>
      <c r="BW4" s="16" t="s">
        <v>145</v>
      </c>
      <c r="BX4" s="166"/>
      <c r="BY4" s="164"/>
      <c r="BZ4" s="16" t="s">
        <v>143</v>
      </c>
      <c r="CA4" s="16" t="s">
        <v>144</v>
      </c>
      <c r="CB4" s="16" t="s">
        <v>145</v>
      </c>
      <c r="CC4" s="166"/>
      <c r="CD4" s="164"/>
      <c r="CE4" s="16" t="s">
        <v>143</v>
      </c>
      <c r="CF4" s="16" t="s">
        <v>144</v>
      </c>
      <c r="CG4" s="16" t="s">
        <v>145</v>
      </c>
      <c r="CH4" s="166"/>
      <c r="CI4" s="164"/>
      <c r="CJ4" s="16" t="s">
        <v>143</v>
      </c>
      <c r="CK4" s="16" t="s">
        <v>144</v>
      </c>
      <c r="CL4" s="16" t="s">
        <v>145</v>
      </c>
      <c r="CM4" s="166"/>
      <c r="CN4" s="164"/>
      <c r="CO4" s="16" t="s">
        <v>143</v>
      </c>
      <c r="CP4" s="16" t="s">
        <v>144</v>
      </c>
      <c r="CQ4" s="16" t="s">
        <v>145</v>
      </c>
      <c r="CR4" s="171"/>
      <c r="CS4" s="164"/>
      <c r="CT4" s="16" t="s">
        <v>143</v>
      </c>
      <c r="CU4" s="16" t="s">
        <v>144</v>
      </c>
      <c r="CV4" s="16" t="s">
        <v>145</v>
      </c>
      <c r="CW4" s="166"/>
      <c r="CX4" s="164"/>
      <c r="CY4" s="16" t="s">
        <v>143</v>
      </c>
      <c r="CZ4" s="16" t="s">
        <v>144</v>
      </c>
      <c r="DA4" s="16" t="s">
        <v>145</v>
      </c>
      <c r="DB4" s="171"/>
      <c r="DC4" s="164"/>
      <c r="DD4" s="16" t="s">
        <v>143</v>
      </c>
      <c r="DE4" s="16" t="s">
        <v>144</v>
      </c>
      <c r="DF4" s="16" t="s">
        <v>145</v>
      </c>
      <c r="DG4" s="171"/>
      <c r="DH4" s="164"/>
      <c r="DI4" s="16" t="s">
        <v>143</v>
      </c>
      <c r="DJ4" s="16" t="s">
        <v>144</v>
      </c>
      <c r="DK4" s="16" t="s">
        <v>145</v>
      </c>
      <c r="DL4" s="166"/>
      <c r="DM4" s="164"/>
      <c r="DN4" s="16" t="s">
        <v>143</v>
      </c>
      <c r="DO4" s="16" t="s">
        <v>144</v>
      </c>
      <c r="DP4" s="16" t="s">
        <v>145</v>
      </c>
      <c r="DQ4" s="166"/>
      <c r="DR4" s="164"/>
      <c r="DS4" s="16" t="s">
        <v>143</v>
      </c>
      <c r="DT4" s="16" t="s">
        <v>144</v>
      </c>
      <c r="DU4" s="16" t="s">
        <v>145</v>
      </c>
      <c r="DV4" s="171"/>
      <c r="DW4" s="164"/>
      <c r="DX4" s="16" t="s">
        <v>143</v>
      </c>
      <c r="DY4" s="16" t="s">
        <v>144</v>
      </c>
      <c r="DZ4" s="16" t="s">
        <v>145</v>
      </c>
      <c r="EA4" s="166"/>
      <c r="EB4" s="164"/>
      <c r="EC4" s="16" t="s">
        <v>143</v>
      </c>
      <c r="ED4" s="16" t="s">
        <v>144</v>
      </c>
      <c r="EE4" s="16" t="s">
        <v>145</v>
      </c>
      <c r="EF4" s="166"/>
      <c r="EG4" s="164"/>
      <c r="EH4" s="16" t="s">
        <v>143</v>
      </c>
      <c r="EI4" s="16" t="s">
        <v>144</v>
      </c>
      <c r="EJ4" s="16" t="s">
        <v>145</v>
      </c>
      <c r="EK4" s="166"/>
      <c r="EL4" s="165"/>
      <c r="EM4" s="16" t="s">
        <v>143</v>
      </c>
      <c r="EN4" s="16" t="s">
        <v>144</v>
      </c>
      <c r="EO4" s="16" t="s">
        <v>145</v>
      </c>
      <c r="EP4" s="166"/>
      <c r="EQ4" s="164"/>
      <c r="ER4" s="16" t="s">
        <v>143</v>
      </c>
      <c r="ES4" s="16" t="s">
        <v>144</v>
      </c>
      <c r="ET4" s="16" t="s">
        <v>145</v>
      </c>
      <c r="EU4" s="166"/>
      <c r="EV4" s="164"/>
      <c r="EW4" s="16" t="s">
        <v>143</v>
      </c>
      <c r="EX4" s="16" t="s">
        <v>144</v>
      </c>
      <c r="EY4" s="16" t="s">
        <v>145</v>
      </c>
      <c r="EZ4" s="166"/>
    </row>
    <row r="5" spans="1:156" x14ac:dyDescent="0.25">
      <c r="A5" s="108" t="s">
        <v>257</v>
      </c>
      <c r="B5" s="107"/>
      <c r="C5" s="16"/>
      <c r="D5" s="16"/>
      <c r="E5" s="16"/>
      <c r="F5" s="109"/>
      <c r="G5" s="107"/>
      <c r="H5" s="16"/>
      <c r="I5" s="16"/>
      <c r="J5" s="16"/>
      <c r="K5" s="109"/>
      <c r="L5" s="107"/>
      <c r="M5" s="16"/>
      <c r="N5" s="16"/>
      <c r="O5" s="16"/>
      <c r="P5" s="108"/>
      <c r="Q5" s="107"/>
      <c r="R5" s="16"/>
      <c r="S5" s="16"/>
      <c r="T5" s="16"/>
      <c r="U5" s="109"/>
      <c r="V5" s="107"/>
      <c r="W5" s="16"/>
      <c r="X5" s="16"/>
      <c r="Y5" s="16"/>
      <c r="Z5" s="109"/>
      <c r="AA5" s="107"/>
      <c r="AB5" s="16"/>
      <c r="AC5" s="16"/>
      <c r="AD5" s="16"/>
      <c r="AE5" s="109"/>
      <c r="AF5" s="108"/>
      <c r="AG5" s="16"/>
      <c r="AH5" s="16"/>
      <c r="AI5" s="16"/>
      <c r="AJ5" s="109"/>
      <c r="AK5" s="107"/>
      <c r="AL5" s="16"/>
      <c r="AM5" s="16"/>
      <c r="AN5" s="16"/>
      <c r="AO5" s="109"/>
      <c r="AP5" s="107"/>
      <c r="AQ5" s="16"/>
      <c r="AR5" s="16"/>
      <c r="AS5" s="16"/>
      <c r="AT5" s="109"/>
      <c r="AU5" s="107"/>
      <c r="AV5" s="16"/>
      <c r="AW5" s="16"/>
      <c r="AX5" s="16"/>
      <c r="AY5" s="109"/>
      <c r="AZ5" s="107"/>
      <c r="BA5" s="16"/>
      <c r="BB5" s="16"/>
      <c r="BC5" s="16"/>
      <c r="BD5" s="109"/>
      <c r="BE5" s="107"/>
      <c r="BF5" s="16"/>
      <c r="BG5" s="16"/>
      <c r="BH5" s="16"/>
      <c r="BI5" s="109"/>
      <c r="BJ5" s="107"/>
      <c r="BK5" s="16"/>
      <c r="BL5" s="16"/>
      <c r="BM5" s="16"/>
      <c r="BN5" s="109"/>
      <c r="BO5" s="107"/>
      <c r="BP5" s="16"/>
      <c r="BQ5" s="16"/>
      <c r="BR5" s="16"/>
      <c r="BS5" s="109"/>
      <c r="BT5" s="107"/>
      <c r="BU5" s="16"/>
      <c r="BV5" s="16"/>
      <c r="BW5" s="16"/>
      <c r="BX5" s="109"/>
      <c r="BY5" s="107"/>
      <c r="BZ5" s="16"/>
      <c r="CA5" s="16"/>
      <c r="CB5" s="16"/>
      <c r="CC5" s="109"/>
      <c r="CD5" s="107"/>
      <c r="CE5" s="16"/>
      <c r="CF5" s="16"/>
      <c r="CG5" s="16"/>
      <c r="CH5" s="109"/>
      <c r="CI5" s="107"/>
      <c r="CJ5" s="16"/>
      <c r="CK5" s="16"/>
      <c r="CL5" s="16"/>
      <c r="CM5" s="109"/>
      <c r="CN5" s="107"/>
      <c r="CO5" s="16"/>
      <c r="CP5" s="16"/>
      <c r="CQ5" s="16"/>
      <c r="CR5" s="110"/>
      <c r="CS5" s="107"/>
      <c r="CT5" s="16"/>
      <c r="CU5" s="16"/>
      <c r="CV5" s="16"/>
      <c r="CW5" s="109"/>
      <c r="CX5" s="107"/>
      <c r="CY5" s="16"/>
      <c r="CZ5" s="16"/>
      <c r="DA5" s="16"/>
      <c r="DB5" s="110"/>
      <c r="DC5" s="107"/>
      <c r="DD5" s="16"/>
      <c r="DE5" s="16"/>
      <c r="DF5" s="16"/>
      <c r="DG5" s="110"/>
      <c r="DH5" s="107"/>
      <c r="DI5" s="16"/>
      <c r="DJ5" s="16"/>
      <c r="DK5" s="16"/>
      <c r="DL5" s="109"/>
      <c r="DM5" s="107"/>
      <c r="DN5" s="16"/>
      <c r="DO5" s="16"/>
      <c r="DP5" s="16"/>
      <c r="DQ5" s="109"/>
      <c r="DR5" s="107"/>
      <c r="DS5" s="16"/>
      <c r="DT5" s="16"/>
      <c r="DU5" s="16"/>
      <c r="DV5" s="110"/>
      <c r="DW5" s="107"/>
      <c r="DX5" s="16"/>
      <c r="DY5" s="16"/>
      <c r="DZ5" s="16"/>
      <c r="EA5" s="109"/>
      <c r="EB5" s="107"/>
      <c r="EC5" s="16"/>
      <c r="ED5" s="16"/>
      <c r="EE5" s="16"/>
      <c r="EF5" s="109"/>
      <c r="EG5" s="107"/>
      <c r="EH5" s="16"/>
      <c r="EI5" s="16"/>
      <c r="EJ5" s="16"/>
      <c r="EK5" s="109"/>
      <c r="EL5" s="108"/>
      <c r="EM5" s="16"/>
      <c r="EN5" s="16"/>
      <c r="EO5" s="16"/>
      <c r="EP5" s="109"/>
      <c r="EQ5" s="107"/>
      <c r="ER5" s="16"/>
      <c r="ES5" s="16"/>
      <c r="ET5" s="16"/>
      <c r="EU5" s="109"/>
      <c r="EV5" s="107"/>
      <c r="EW5" s="16"/>
      <c r="EX5" s="16"/>
      <c r="EY5" s="16"/>
      <c r="EZ5" s="109"/>
    </row>
    <row r="6" spans="1:156" x14ac:dyDescent="0.25">
      <c r="A6" s="17" t="s">
        <v>147</v>
      </c>
      <c r="B6" s="76"/>
      <c r="C6" s="77"/>
      <c r="D6" s="77"/>
      <c r="E6" s="17"/>
      <c r="F6" s="35"/>
      <c r="G6" s="9"/>
      <c r="H6" s="17"/>
      <c r="I6" s="17"/>
      <c r="J6" s="17"/>
      <c r="K6" s="35"/>
      <c r="L6" s="9"/>
      <c r="M6" s="17"/>
      <c r="N6" s="17"/>
      <c r="O6" s="17"/>
      <c r="P6" s="17"/>
      <c r="Q6" s="9"/>
      <c r="R6" s="90"/>
      <c r="S6" s="90"/>
      <c r="T6" s="90" t="s">
        <v>314</v>
      </c>
      <c r="U6" s="35"/>
      <c r="V6" s="9"/>
      <c r="W6" s="17"/>
      <c r="X6" s="17"/>
      <c r="Y6" s="17"/>
      <c r="Z6" s="35"/>
      <c r="AA6" s="9"/>
      <c r="AB6" s="17"/>
      <c r="AC6" s="17"/>
      <c r="AD6" s="17"/>
      <c r="AE6" s="35"/>
      <c r="AF6" s="9"/>
      <c r="AG6" s="17"/>
      <c r="AH6" s="17"/>
      <c r="AI6" s="17"/>
      <c r="AJ6" s="35"/>
      <c r="AK6" s="9"/>
      <c r="AL6" s="17"/>
      <c r="AM6" s="17"/>
      <c r="AN6" s="17"/>
      <c r="AO6" s="35"/>
      <c r="AP6" s="76"/>
      <c r="AQ6" s="17"/>
      <c r="AR6" s="17"/>
      <c r="AS6" s="76"/>
      <c r="AT6" s="35"/>
      <c r="AU6" s="9"/>
      <c r="AV6" s="17"/>
      <c r="AW6" s="17"/>
      <c r="AX6" s="17"/>
      <c r="AY6" s="35"/>
      <c r="AZ6" s="9"/>
      <c r="BA6" s="17"/>
      <c r="BB6" s="17"/>
      <c r="BC6" s="17"/>
      <c r="BD6" s="35"/>
      <c r="BE6" s="9"/>
      <c r="BF6" s="17"/>
      <c r="BG6" s="17"/>
      <c r="BH6" s="17"/>
      <c r="BI6" s="35"/>
      <c r="BJ6" s="9"/>
      <c r="BK6" s="17"/>
      <c r="BL6" s="17"/>
      <c r="BM6" s="17"/>
      <c r="BN6" s="35"/>
      <c r="BO6" s="9"/>
      <c r="BP6" s="17"/>
      <c r="BQ6" s="17"/>
      <c r="BR6" s="17"/>
      <c r="BS6" s="35"/>
      <c r="BT6" s="9"/>
      <c r="BU6" s="17"/>
      <c r="BV6" s="17"/>
      <c r="BW6" s="17"/>
      <c r="BX6" s="35"/>
      <c r="BY6" s="9"/>
      <c r="BZ6" s="17"/>
      <c r="CA6" s="17"/>
      <c r="CB6" s="17"/>
      <c r="CC6" s="35"/>
      <c r="CD6" s="9"/>
      <c r="CE6" s="17"/>
      <c r="CF6" s="17"/>
      <c r="CG6" s="17"/>
      <c r="CH6" s="35"/>
      <c r="CI6" s="9"/>
      <c r="CJ6" s="17"/>
      <c r="CK6" s="17"/>
      <c r="CL6" s="17"/>
      <c r="CM6" s="35"/>
      <c r="CN6" s="9"/>
      <c r="CO6" s="17"/>
      <c r="CP6" s="17"/>
      <c r="CQ6" s="17"/>
      <c r="CR6" s="17"/>
      <c r="CS6" s="9"/>
      <c r="CT6" s="17"/>
      <c r="CU6" s="91">
        <v>4</v>
      </c>
      <c r="CV6" s="17"/>
      <c r="CW6" s="35">
        <v>2.8999999999999998E-3</v>
      </c>
      <c r="CX6" s="9"/>
      <c r="CY6" s="17"/>
      <c r="CZ6" s="17"/>
      <c r="DA6" s="17"/>
      <c r="DB6" s="35"/>
      <c r="DC6" s="9"/>
      <c r="DD6" s="17"/>
      <c r="DE6" s="17"/>
      <c r="DF6" s="17"/>
      <c r="DG6" s="17"/>
      <c r="DH6" s="9"/>
      <c r="DI6" s="17"/>
      <c r="DJ6" s="17"/>
      <c r="DK6" s="17"/>
      <c r="DL6" s="35"/>
      <c r="DM6" s="60"/>
      <c r="DN6" s="36"/>
      <c r="DO6" s="35"/>
      <c r="DP6" s="35"/>
      <c r="DQ6" s="35"/>
      <c r="DR6" s="9"/>
      <c r="DS6" s="17"/>
      <c r="DT6" s="17"/>
      <c r="DU6" s="17"/>
      <c r="DV6" s="17"/>
      <c r="DW6" s="9"/>
      <c r="DX6" s="17"/>
      <c r="DY6" s="17"/>
      <c r="DZ6" s="17"/>
      <c r="EA6" s="35"/>
      <c r="EB6" s="9"/>
      <c r="EC6" s="17"/>
      <c r="ED6" s="17"/>
      <c r="EE6" s="17"/>
      <c r="EF6" s="35"/>
      <c r="EG6" s="76"/>
      <c r="EH6" s="77"/>
      <c r="EI6" s="17"/>
      <c r="EJ6" s="77"/>
      <c r="EK6" s="35"/>
      <c r="EL6" s="17"/>
      <c r="EM6" s="17"/>
      <c r="EN6" s="17"/>
      <c r="EO6" s="17"/>
      <c r="EP6" s="35"/>
      <c r="EQ6" s="9">
        <v>4</v>
      </c>
      <c r="ER6" s="91">
        <v>201</v>
      </c>
      <c r="ES6" s="91">
        <v>11</v>
      </c>
      <c r="ET6" s="91">
        <v>179</v>
      </c>
      <c r="EU6" s="35">
        <v>1.5E-3</v>
      </c>
      <c r="EV6" s="9"/>
      <c r="EW6" s="17"/>
      <c r="EX6" s="17"/>
      <c r="EY6" s="17"/>
      <c r="EZ6" s="35"/>
    </row>
    <row r="7" spans="1:156" x14ac:dyDescent="0.25">
      <c r="A7" s="17" t="s">
        <v>148</v>
      </c>
      <c r="B7" s="76">
        <v>1</v>
      </c>
      <c r="C7" s="17"/>
      <c r="D7" s="77"/>
      <c r="E7" s="77"/>
      <c r="F7" s="35"/>
      <c r="G7" s="9"/>
      <c r="H7" s="17"/>
      <c r="I7" s="17"/>
      <c r="J7" s="17"/>
      <c r="K7" s="35"/>
      <c r="L7" s="91">
        <v>8</v>
      </c>
      <c r="M7" s="90">
        <v>6646.04</v>
      </c>
      <c r="N7" s="90">
        <v>1313.14</v>
      </c>
      <c r="O7" s="36"/>
      <c r="P7" s="35">
        <v>1.1299999999999999E-2</v>
      </c>
      <c r="Q7" s="91">
        <v>39</v>
      </c>
      <c r="R7" s="90">
        <v>61092.27</v>
      </c>
      <c r="S7" s="90">
        <v>190.28</v>
      </c>
      <c r="T7" s="90">
        <v>42366.02</v>
      </c>
      <c r="U7" s="34">
        <v>0.17199999999999999</v>
      </c>
      <c r="V7" s="91"/>
      <c r="W7" s="91"/>
      <c r="X7" s="91"/>
      <c r="Y7" s="91"/>
      <c r="Z7" s="35"/>
      <c r="AA7" s="91">
        <v>3</v>
      </c>
      <c r="AB7" s="91">
        <v>6678</v>
      </c>
      <c r="AC7" s="91">
        <v>135</v>
      </c>
      <c r="AD7" s="17"/>
      <c r="AE7" s="35">
        <v>5.3199999999999997E-2</v>
      </c>
      <c r="AF7" s="76"/>
      <c r="AG7" s="77"/>
      <c r="AH7" s="17"/>
      <c r="AI7" s="17"/>
      <c r="AJ7" s="35"/>
      <c r="AK7" s="76"/>
      <c r="AL7" s="77"/>
      <c r="AM7" s="77"/>
      <c r="AN7" s="77"/>
      <c r="AO7" s="35"/>
      <c r="AP7" s="91">
        <v>1</v>
      </c>
      <c r="AQ7" s="91">
        <v>3854</v>
      </c>
      <c r="AR7" s="91">
        <v>456</v>
      </c>
      <c r="AS7" s="91">
        <v>19</v>
      </c>
      <c r="AT7" s="35">
        <v>2.76E-2</v>
      </c>
      <c r="AU7" s="91">
        <v>2</v>
      </c>
      <c r="AV7" s="91">
        <v>16191</v>
      </c>
      <c r="AW7" s="91">
        <v>81</v>
      </c>
      <c r="AX7" s="91">
        <v>15</v>
      </c>
      <c r="AY7" s="35">
        <v>0.14979999999999999</v>
      </c>
      <c r="AZ7" s="91">
        <v>19</v>
      </c>
      <c r="BA7" s="91">
        <v>1517</v>
      </c>
      <c r="BB7" s="91">
        <v>191</v>
      </c>
      <c r="BC7" s="91">
        <v>1556</v>
      </c>
      <c r="BD7" s="35">
        <v>4.8999999999999998E-3</v>
      </c>
      <c r="BE7" s="91">
        <v>38</v>
      </c>
      <c r="BF7" s="91">
        <v>25529</v>
      </c>
      <c r="BG7" s="91">
        <v>717</v>
      </c>
      <c r="BH7" s="91">
        <v>5114</v>
      </c>
      <c r="BI7" s="114">
        <v>0.06</v>
      </c>
      <c r="BJ7" s="91">
        <v>6</v>
      </c>
      <c r="BK7" s="90">
        <v>13067.17</v>
      </c>
      <c r="BL7" s="90">
        <v>0.28999999999999998</v>
      </c>
      <c r="BM7" s="90">
        <v>1629.37</v>
      </c>
      <c r="BN7" s="114">
        <v>0.05</v>
      </c>
      <c r="BO7" s="76"/>
      <c r="BP7" s="77"/>
      <c r="BQ7" s="77"/>
      <c r="BR7" s="77"/>
      <c r="BS7" s="35"/>
      <c r="BT7" s="91">
        <v>2</v>
      </c>
      <c r="BU7" s="90">
        <v>14.86</v>
      </c>
      <c r="BV7" s="77"/>
      <c r="BW7" s="17"/>
      <c r="BX7" s="35">
        <v>6.9999999999999999E-4</v>
      </c>
      <c r="BY7" s="91">
        <v>5</v>
      </c>
      <c r="BZ7" s="91">
        <v>7</v>
      </c>
      <c r="CA7" s="91">
        <v>-2</v>
      </c>
      <c r="CB7" s="91">
        <v>31</v>
      </c>
      <c r="CC7" s="35"/>
      <c r="CD7" s="76"/>
      <c r="CE7" s="77"/>
      <c r="CF7" s="17"/>
      <c r="CG7" s="17"/>
      <c r="CH7" s="35"/>
      <c r="CI7" s="9"/>
      <c r="CJ7" s="17"/>
      <c r="CK7" s="17"/>
      <c r="CL7" s="17"/>
      <c r="CM7" s="35"/>
      <c r="CN7" s="91">
        <v>1</v>
      </c>
      <c r="CO7" s="17"/>
      <c r="CP7" s="17"/>
      <c r="CQ7" s="91">
        <v>124</v>
      </c>
      <c r="CR7" s="35">
        <v>8.0000000000000004E-4</v>
      </c>
      <c r="CS7" s="76"/>
      <c r="CT7" s="17"/>
      <c r="CU7" s="77"/>
      <c r="CV7" s="17"/>
      <c r="CW7" s="35"/>
      <c r="CX7" s="9"/>
      <c r="CY7" s="17"/>
      <c r="CZ7" s="17"/>
      <c r="DA7" s="17"/>
      <c r="DB7" s="35"/>
      <c r="DC7" s="91">
        <v>28</v>
      </c>
      <c r="DD7" s="91">
        <v>2027</v>
      </c>
      <c r="DE7" s="91">
        <v>329</v>
      </c>
      <c r="DF7" s="91">
        <v>1883</v>
      </c>
      <c r="DG7" s="35">
        <v>1.0500000000000001E-2</v>
      </c>
      <c r="DH7" s="91">
        <v>3</v>
      </c>
      <c r="DI7" s="90">
        <v>1202.3</v>
      </c>
      <c r="DJ7" s="90">
        <v>10.68</v>
      </c>
      <c r="DK7" s="90">
        <v>8.5500000000000007</v>
      </c>
      <c r="DL7" s="35">
        <v>1.5800000000000002E-2</v>
      </c>
      <c r="DM7" s="60">
        <v>5</v>
      </c>
      <c r="DN7" s="36">
        <v>54123.12</v>
      </c>
      <c r="DO7" s="36">
        <v>0.46</v>
      </c>
      <c r="DP7" s="36">
        <v>0.45</v>
      </c>
      <c r="DQ7" s="35">
        <v>0.1114</v>
      </c>
      <c r="DR7" s="91"/>
      <c r="DS7" s="90"/>
      <c r="DT7" s="90"/>
      <c r="DU7" s="90"/>
      <c r="DV7" s="90"/>
      <c r="DW7" s="76"/>
      <c r="DX7" s="77"/>
      <c r="DY7" s="77"/>
      <c r="DZ7" s="77"/>
      <c r="EA7" s="35"/>
      <c r="EB7" s="91">
        <v>23</v>
      </c>
      <c r="EC7" s="91">
        <v>9797</v>
      </c>
      <c r="ED7" s="91">
        <v>657</v>
      </c>
      <c r="EE7" s="91">
        <v>1158</v>
      </c>
      <c r="EF7" s="114">
        <v>0.04</v>
      </c>
      <c r="EG7" s="91">
        <v>17</v>
      </c>
      <c r="EH7" s="90">
        <v>21889.02</v>
      </c>
      <c r="EI7" s="90">
        <v>747.9</v>
      </c>
      <c r="EJ7" s="90">
        <v>4691.72</v>
      </c>
      <c r="EK7" s="35">
        <v>4.3799999999999999E-2</v>
      </c>
      <c r="EL7" s="91"/>
      <c r="EM7" s="90">
        <v>12020.17</v>
      </c>
      <c r="EN7" s="90">
        <v>353.15</v>
      </c>
      <c r="EO7" s="90">
        <v>430.05</v>
      </c>
      <c r="EP7" s="35">
        <v>5.6399999999999999E-2</v>
      </c>
      <c r="EQ7" s="9">
        <v>11</v>
      </c>
      <c r="ER7" s="91"/>
      <c r="ES7" s="91">
        <v>1178</v>
      </c>
      <c r="ET7" s="91">
        <v>275</v>
      </c>
      <c r="EU7" s="35">
        <v>5.5999999999999999E-3</v>
      </c>
      <c r="EV7" s="91">
        <v>65</v>
      </c>
      <c r="EW7" s="91">
        <v>27279</v>
      </c>
      <c r="EX7" s="91">
        <v>1868</v>
      </c>
      <c r="EY7" s="91">
        <v>11352</v>
      </c>
      <c r="EZ7" s="114">
        <v>0.22</v>
      </c>
    </row>
    <row r="8" spans="1:156" x14ac:dyDescent="0.25">
      <c r="A8" s="17" t="s">
        <v>149</v>
      </c>
      <c r="B8" s="9"/>
      <c r="C8" s="17"/>
      <c r="D8" s="17"/>
      <c r="E8" s="17"/>
      <c r="F8" s="35"/>
      <c r="G8" s="76"/>
      <c r="H8" s="77"/>
      <c r="I8" s="90">
        <v>99</v>
      </c>
      <c r="J8" s="17"/>
      <c r="K8" s="35">
        <v>2.5999999999999999E-3</v>
      </c>
      <c r="L8" s="91">
        <v>70</v>
      </c>
      <c r="M8" s="90">
        <v>111844.92</v>
      </c>
      <c r="N8" s="90">
        <v>14592.05</v>
      </c>
      <c r="O8" s="36">
        <v>109814.59</v>
      </c>
      <c r="P8" s="35">
        <v>0.3362</v>
      </c>
      <c r="Q8" s="91">
        <v>159</v>
      </c>
      <c r="R8" s="90">
        <v>75261.16</v>
      </c>
      <c r="S8" s="90">
        <v>3716</v>
      </c>
      <c r="T8" s="90">
        <v>61806.720000000001</v>
      </c>
      <c r="U8" s="34">
        <v>0.23369999999999999</v>
      </c>
      <c r="V8" s="91"/>
      <c r="W8" s="91"/>
      <c r="X8" s="91"/>
      <c r="Y8" s="91"/>
      <c r="Z8" s="35"/>
      <c r="AA8" s="91">
        <v>58</v>
      </c>
      <c r="AB8" s="91">
        <v>6757</v>
      </c>
      <c r="AC8" s="91">
        <v>1124</v>
      </c>
      <c r="AD8" s="91">
        <v>8223</v>
      </c>
      <c r="AE8" s="35">
        <v>0.12570000000000001</v>
      </c>
      <c r="AF8" s="76">
        <v>4</v>
      </c>
      <c r="AG8" s="91">
        <v>1834</v>
      </c>
      <c r="AH8" s="91">
        <v>415</v>
      </c>
      <c r="AI8" s="77"/>
      <c r="AJ8" s="35">
        <v>0.11</v>
      </c>
      <c r="AK8" s="91">
        <v>3</v>
      </c>
      <c r="AL8" s="77"/>
      <c r="AM8" s="90">
        <v>145.44</v>
      </c>
      <c r="AN8" s="90">
        <v>-1.7</v>
      </c>
      <c r="AO8" s="114">
        <v>0.01</v>
      </c>
      <c r="AP8" s="91">
        <v>62</v>
      </c>
      <c r="AQ8" s="91">
        <v>27116</v>
      </c>
      <c r="AR8" s="91">
        <v>2212</v>
      </c>
      <c r="AS8" s="91">
        <v>5918</v>
      </c>
      <c r="AT8" s="35">
        <v>0.22509999999999999</v>
      </c>
      <c r="AU8" s="91">
        <v>68</v>
      </c>
      <c r="AV8" s="91">
        <v>49974</v>
      </c>
      <c r="AW8" s="91">
        <v>512</v>
      </c>
      <c r="AX8" s="91">
        <v>6970</v>
      </c>
      <c r="AY8" s="35">
        <v>0.52829999999999999</v>
      </c>
      <c r="AZ8" s="91">
        <v>118</v>
      </c>
      <c r="BA8" s="91">
        <v>42859</v>
      </c>
      <c r="BB8" s="91">
        <v>2158</v>
      </c>
      <c r="BC8" s="91">
        <v>12990</v>
      </c>
      <c r="BD8" s="35">
        <v>8.7900000000000006E-2</v>
      </c>
      <c r="BE8" s="91">
        <v>175</v>
      </c>
      <c r="BF8" s="91">
        <v>52018</v>
      </c>
      <c r="BG8" s="91">
        <v>7206</v>
      </c>
      <c r="BH8" s="91">
        <v>27099</v>
      </c>
      <c r="BI8" s="114">
        <v>0.17</v>
      </c>
      <c r="BJ8" s="91">
        <v>132</v>
      </c>
      <c r="BK8" s="90">
        <v>68664.47</v>
      </c>
      <c r="BL8" s="90">
        <v>4287.22</v>
      </c>
      <c r="BM8" s="90">
        <v>8741.76</v>
      </c>
      <c r="BN8" s="114">
        <v>0.3</v>
      </c>
      <c r="BO8" s="76"/>
      <c r="BP8" s="77"/>
      <c r="BQ8" s="77"/>
      <c r="BR8" s="77"/>
      <c r="BS8" s="35"/>
      <c r="BT8" s="91">
        <v>11</v>
      </c>
      <c r="BU8" s="90">
        <v>2980.88</v>
      </c>
      <c r="BV8" s="90">
        <v>1047.8900000000001</v>
      </c>
      <c r="BW8" s="77"/>
      <c r="BX8" s="35">
        <v>0.17799999999999999</v>
      </c>
      <c r="BY8" s="91">
        <v>32</v>
      </c>
      <c r="BZ8" s="91">
        <v>16824</v>
      </c>
      <c r="CA8" s="91">
        <v>242</v>
      </c>
      <c r="CB8" s="91">
        <v>115</v>
      </c>
      <c r="CC8" s="114">
        <v>0.25</v>
      </c>
      <c r="CD8" s="76"/>
      <c r="CE8" s="77"/>
      <c r="CF8" s="17"/>
      <c r="CG8" s="17"/>
      <c r="CH8" s="35"/>
      <c r="CI8" s="9"/>
      <c r="CJ8" s="88"/>
      <c r="CK8" s="89"/>
      <c r="CL8" s="90"/>
      <c r="CM8" s="35"/>
      <c r="CN8" s="91">
        <v>158</v>
      </c>
      <c r="CO8" s="91">
        <v>6520</v>
      </c>
      <c r="CP8" s="91">
        <v>5881</v>
      </c>
      <c r="CQ8" s="91">
        <v>7163</v>
      </c>
      <c r="CR8" s="35">
        <v>0.1244</v>
      </c>
      <c r="CS8" s="91">
        <v>6</v>
      </c>
      <c r="CT8" s="91">
        <v>137</v>
      </c>
      <c r="CU8" s="91">
        <v>83</v>
      </c>
      <c r="CV8" s="77"/>
      <c r="CW8" s="35">
        <v>0.1636</v>
      </c>
      <c r="CX8" s="91">
        <v>1</v>
      </c>
      <c r="CY8" s="17"/>
      <c r="CZ8" s="91">
        <v>81</v>
      </c>
      <c r="DA8" s="17"/>
      <c r="DB8" s="35">
        <v>1.21E-2</v>
      </c>
      <c r="DC8" s="91">
        <v>134</v>
      </c>
      <c r="DD8" s="91">
        <v>49067</v>
      </c>
      <c r="DE8" s="91">
        <v>4371</v>
      </c>
      <c r="DF8" s="91">
        <v>9196</v>
      </c>
      <c r="DG8" s="35">
        <v>0.15559999999999999</v>
      </c>
      <c r="DH8" s="91">
        <v>55</v>
      </c>
      <c r="DI8" s="90">
        <v>8578.36</v>
      </c>
      <c r="DJ8" s="90">
        <v>682</v>
      </c>
      <c r="DK8" s="90">
        <v>2118.21</v>
      </c>
      <c r="DL8" s="35">
        <v>0.14710000000000001</v>
      </c>
      <c r="DM8" s="60">
        <v>145</v>
      </c>
      <c r="DN8" s="36">
        <v>71377.84</v>
      </c>
      <c r="DO8" s="36">
        <v>5181.7299999999996</v>
      </c>
      <c r="DP8" s="36">
        <v>4036.68</v>
      </c>
      <c r="DQ8" s="35">
        <v>0.16589999999999999</v>
      </c>
      <c r="DR8" s="91">
        <v>8</v>
      </c>
      <c r="DS8" s="90">
        <v>814.16</v>
      </c>
      <c r="DT8" s="90">
        <v>814.16</v>
      </c>
      <c r="DU8" s="90">
        <v>157.59</v>
      </c>
      <c r="DV8" s="35">
        <v>9.3299999999999994E-2</v>
      </c>
      <c r="DW8" s="76"/>
      <c r="DX8" s="77"/>
      <c r="DY8" s="77"/>
      <c r="DZ8" s="77"/>
      <c r="EA8" s="35"/>
      <c r="EB8" s="91">
        <v>98</v>
      </c>
      <c r="EC8" s="91">
        <v>72186</v>
      </c>
      <c r="ED8" s="91">
        <v>5026</v>
      </c>
      <c r="EE8" s="91">
        <v>27149</v>
      </c>
      <c r="EF8" s="114">
        <v>0.33</v>
      </c>
      <c r="EG8" s="91">
        <v>262</v>
      </c>
      <c r="EH8" s="90">
        <v>8286.41</v>
      </c>
      <c r="EI8" s="90">
        <v>5705.79</v>
      </c>
      <c r="EJ8" s="90">
        <v>65389.53</v>
      </c>
      <c r="EK8" s="35">
        <v>0.12759999999999999</v>
      </c>
      <c r="EL8" s="91"/>
      <c r="EM8" s="90">
        <v>4181.8999999999996</v>
      </c>
      <c r="EN8" s="90">
        <v>9707.11</v>
      </c>
      <c r="EO8" s="90">
        <v>10245.4</v>
      </c>
      <c r="EP8" s="35">
        <v>0.1062</v>
      </c>
      <c r="EQ8" s="9">
        <v>114</v>
      </c>
      <c r="ER8" s="91">
        <v>5935</v>
      </c>
      <c r="ES8" s="91">
        <v>13914</v>
      </c>
      <c r="ET8" s="91">
        <v>2845</v>
      </c>
      <c r="EU8" s="35">
        <v>8.6900000000000005E-2</v>
      </c>
      <c r="EV8" s="91">
        <v>20</v>
      </c>
      <c r="EW8" s="91">
        <v>16816</v>
      </c>
      <c r="EX8" s="91">
        <v>1198</v>
      </c>
      <c r="EY8" s="91">
        <v>8028</v>
      </c>
      <c r="EZ8" s="114">
        <v>0.14000000000000001</v>
      </c>
    </row>
    <row r="9" spans="1:156" x14ac:dyDescent="0.25">
      <c r="A9" s="17" t="s">
        <v>150</v>
      </c>
      <c r="B9" s="9"/>
      <c r="C9" s="77"/>
      <c r="D9" s="77"/>
      <c r="E9" s="77"/>
      <c r="F9" s="35"/>
      <c r="G9" s="76"/>
      <c r="H9" s="77"/>
      <c r="I9" s="90">
        <v>157</v>
      </c>
      <c r="J9" s="17"/>
      <c r="K9" s="35">
        <v>4.1000000000000003E-3</v>
      </c>
      <c r="L9" s="91">
        <v>1</v>
      </c>
      <c r="M9" s="90">
        <v>3233.53</v>
      </c>
      <c r="N9" s="90">
        <v>153.84</v>
      </c>
      <c r="O9" s="34"/>
      <c r="P9" s="35">
        <v>4.7999999999999996E-3</v>
      </c>
      <c r="Q9" s="76"/>
      <c r="R9" s="90"/>
      <c r="S9" s="90"/>
      <c r="T9" s="77"/>
      <c r="U9" s="35"/>
      <c r="V9" s="76"/>
      <c r="W9" s="77"/>
      <c r="X9" s="17"/>
      <c r="Y9" s="17"/>
      <c r="Z9" s="35"/>
      <c r="AA9" s="91">
        <v>3</v>
      </c>
      <c r="AB9" s="91">
        <v>7</v>
      </c>
      <c r="AC9" s="91"/>
      <c r="AD9" s="17"/>
      <c r="AE9" s="35">
        <v>1E-4</v>
      </c>
      <c r="AF9" s="76"/>
      <c r="AG9" s="77"/>
      <c r="AH9" s="17"/>
      <c r="AI9" s="17"/>
      <c r="AJ9" s="35"/>
      <c r="AK9" s="91">
        <v>12</v>
      </c>
      <c r="AL9" s="90">
        <v>1.51</v>
      </c>
      <c r="AM9" s="77"/>
      <c r="AN9" s="77"/>
      <c r="AO9" s="35"/>
      <c r="AP9" s="91">
        <v>12</v>
      </c>
      <c r="AQ9" s="91">
        <v>4306</v>
      </c>
      <c r="AR9" s="91">
        <v>818</v>
      </c>
      <c r="AS9" s="91">
        <v>135</v>
      </c>
      <c r="AT9" s="35">
        <v>3.3599999999999998E-2</v>
      </c>
      <c r="AU9" s="91">
        <v>3</v>
      </c>
      <c r="AV9" s="91">
        <v>15</v>
      </c>
      <c r="AW9" s="91">
        <v>1</v>
      </c>
      <c r="AX9" s="91">
        <v>6</v>
      </c>
      <c r="AY9" s="35">
        <v>2.0000000000000001E-4</v>
      </c>
      <c r="AZ9" s="91">
        <v>6</v>
      </c>
      <c r="BA9" s="91">
        <v>92</v>
      </c>
      <c r="BB9" s="91"/>
      <c r="BC9" s="91">
        <v>57</v>
      </c>
      <c r="BD9" s="35">
        <v>2.0000000000000001E-4</v>
      </c>
      <c r="BE9" s="91">
        <v>3</v>
      </c>
      <c r="BF9" s="91">
        <v>75</v>
      </c>
      <c r="BG9" s="91">
        <v>-2</v>
      </c>
      <c r="BH9" s="91">
        <v>52</v>
      </c>
      <c r="BI9" s="114">
        <v>0</v>
      </c>
      <c r="BJ9" s="91">
        <v>29</v>
      </c>
      <c r="BK9" s="90">
        <v>3915.06</v>
      </c>
      <c r="BL9" s="90">
        <v>561.65</v>
      </c>
      <c r="BM9" s="90">
        <v>163.74</v>
      </c>
      <c r="BN9" s="114">
        <v>0.02</v>
      </c>
      <c r="BO9" s="76">
        <v>1</v>
      </c>
      <c r="BP9" s="77"/>
      <c r="BQ9" s="90">
        <v>1.63</v>
      </c>
      <c r="BR9" s="77"/>
      <c r="BS9" s="35"/>
      <c r="BT9" s="76"/>
      <c r="BU9" s="90"/>
      <c r="BV9" s="77"/>
      <c r="BW9" s="77"/>
      <c r="BX9" s="35"/>
      <c r="BY9" s="91">
        <v>5</v>
      </c>
      <c r="BZ9" s="91">
        <v>7</v>
      </c>
      <c r="CA9" s="91">
        <v>-3</v>
      </c>
      <c r="CB9" s="17"/>
      <c r="CC9" s="35"/>
      <c r="CD9" s="9"/>
      <c r="CE9" s="17"/>
      <c r="CF9" s="17"/>
      <c r="CG9" s="17"/>
      <c r="CH9" s="35"/>
      <c r="CI9" s="9"/>
      <c r="CJ9" s="88"/>
      <c r="CK9" s="89"/>
      <c r="CL9" s="90"/>
      <c r="CM9" s="35"/>
      <c r="CN9" s="91">
        <v>21</v>
      </c>
      <c r="CO9" s="91">
        <v>943</v>
      </c>
      <c r="CP9" s="91">
        <v>2224</v>
      </c>
      <c r="CQ9" s="91">
        <v>839</v>
      </c>
      <c r="CR9" s="35">
        <v>2.5499999999999998E-2</v>
      </c>
      <c r="CS9" s="91">
        <v>7</v>
      </c>
      <c r="CT9" s="91">
        <v>57</v>
      </c>
      <c r="CU9" s="91">
        <v>24</v>
      </c>
      <c r="CV9" s="77"/>
      <c r="CW9" s="35">
        <v>6.0400000000000002E-2</v>
      </c>
      <c r="CX9" s="91">
        <v>1</v>
      </c>
      <c r="CY9" s="17"/>
      <c r="CZ9" s="91">
        <v>202</v>
      </c>
      <c r="DA9" s="17"/>
      <c r="DB9" s="35">
        <v>3.0200000000000001E-2</v>
      </c>
      <c r="DC9" s="76">
        <v>10</v>
      </c>
      <c r="DD9" s="91">
        <v>10822</v>
      </c>
      <c r="DE9" s="91">
        <v>1177</v>
      </c>
      <c r="DF9" s="91">
        <v>1982</v>
      </c>
      <c r="DG9" s="35">
        <v>3.4700000000000002E-2</v>
      </c>
      <c r="DH9" s="91">
        <v>12</v>
      </c>
      <c r="DI9" s="90">
        <v>2902.83</v>
      </c>
      <c r="DJ9" s="90">
        <v>154.9</v>
      </c>
      <c r="DK9" s="90">
        <v>1916.09</v>
      </c>
      <c r="DL9" s="35">
        <v>6.4299999999999996E-2</v>
      </c>
      <c r="DM9" s="60">
        <v>2</v>
      </c>
      <c r="DN9" s="36"/>
      <c r="DO9" s="36"/>
      <c r="DP9" s="36">
        <v>94.73</v>
      </c>
      <c r="DQ9" s="35">
        <v>2.0000000000000001E-4</v>
      </c>
      <c r="DR9" s="91">
        <v>7</v>
      </c>
      <c r="DS9" s="90">
        <v>701.8</v>
      </c>
      <c r="DT9" s="90">
        <v>701.8</v>
      </c>
      <c r="DU9" s="90"/>
      <c r="DV9" s="35">
        <v>6.0999999999999999E-2</v>
      </c>
      <c r="DW9" s="76"/>
      <c r="DX9" s="77"/>
      <c r="DY9" s="77"/>
      <c r="DZ9" s="77"/>
      <c r="EA9" s="35"/>
      <c r="EB9" s="91"/>
      <c r="EC9" s="91"/>
      <c r="ED9" s="91"/>
      <c r="EE9" s="91"/>
      <c r="EF9" s="35"/>
      <c r="EG9" s="91">
        <v>77</v>
      </c>
      <c r="EH9" s="90">
        <v>22137.63</v>
      </c>
      <c r="EI9" s="90">
        <v>10886.2</v>
      </c>
      <c r="EJ9" s="90">
        <v>15982.08</v>
      </c>
      <c r="EK9" s="35">
        <v>7.8700000000000006E-2</v>
      </c>
      <c r="EL9" s="91"/>
      <c r="EM9" s="90">
        <v>26.21</v>
      </c>
      <c r="EN9" s="90">
        <v>14.78</v>
      </c>
      <c r="EO9" s="90">
        <v>3.77</v>
      </c>
      <c r="EP9" s="35">
        <v>2.0000000000000001E-4</v>
      </c>
      <c r="EQ9" s="9">
        <v>30</v>
      </c>
      <c r="ER9" s="91">
        <v>25518</v>
      </c>
      <c r="ES9" s="91">
        <v>3892</v>
      </c>
      <c r="ET9" s="91">
        <v>14443</v>
      </c>
      <c r="EU9" s="35">
        <v>0.1678</v>
      </c>
      <c r="EV9" s="91">
        <v>4</v>
      </c>
      <c r="EW9" s="91">
        <v>469</v>
      </c>
      <c r="EX9" s="91">
        <v>205</v>
      </c>
      <c r="EY9" s="91">
        <v>271</v>
      </c>
      <c r="EZ9" s="114">
        <v>0.01</v>
      </c>
    </row>
    <row r="10" spans="1:156" x14ac:dyDescent="0.25">
      <c r="A10" s="17" t="s">
        <v>151</v>
      </c>
      <c r="B10" s="9"/>
      <c r="C10" s="17"/>
      <c r="D10" s="17"/>
      <c r="E10" s="17"/>
      <c r="F10" s="35"/>
      <c r="G10" s="9"/>
      <c r="H10" s="17"/>
      <c r="I10" s="17"/>
      <c r="J10" s="17"/>
      <c r="K10" s="35"/>
      <c r="L10" s="76"/>
      <c r="M10" s="77"/>
      <c r="N10" s="17"/>
      <c r="O10" s="34"/>
      <c r="P10" s="17"/>
      <c r="Q10" s="9"/>
      <c r="R10" s="17"/>
      <c r="S10" s="17"/>
      <c r="T10" s="17"/>
      <c r="U10" s="35"/>
      <c r="V10" s="9"/>
      <c r="W10" s="77"/>
      <c r="X10" s="17"/>
      <c r="Y10" s="17"/>
      <c r="Z10" s="35"/>
      <c r="AA10" s="91"/>
      <c r="AB10" s="90"/>
      <c r="AC10" s="90"/>
      <c r="AD10" s="17"/>
      <c r="AE10" s="35"/>
      <c r="AF10" s="9"/>
      <c r="AG10" s="17"/>
      <c r="AH10" s="17"/>
      <c r="AI10" s="17"/>
      <c r="AJ10" s="35"/>
      <c r="AK10" s="76"/>
      <c r="AL10" s="77"/>
      <c r="AM10" s="17"/>
      <c r="AN10" s="77"/>
      <c r="AO10" s="35"/>
      <c r="AP10" s="91">
        <v>2</v>
      </c>
      <c r="AQ10" s="17"/>
      <c r="AR10" s="17"/>
      <c r="AS10" s="17"/>
      <c r="AT10" s="35"/>
      <c r="AU10" s="9"/>
      <c r="AV10" s="17"/>
      <c r="AW10" s="17"/>
      <c r="AX10" s="17"/>
      <c r="AY10" s="35"/>
      <c r="AZ10" s="76"/>
      <c r="BA10" s="77"/>
      <c r="BB10" s="77"/>
      <c r="BC10" s="77"/>
      <c r="BD10" s="35"/>
      <c r="BE10" s="91">
        <v>10</v>
      </c>
      <c r="BF10" s="91">
        <v>147</v>
      </c>
      <c r="BG10" s="91">
        <v>-1</v>
      </c>
      <c r="BH10" s="91">
        <v>30</v>
      </c>
      <c r="BI10" s="114">
        <v>0</v>
      </c>
      <c r="BJ10" s="9"/>
      <c r="BK10" s="17"/>
      <c r="BL10" s="17"/>
      <c r="BM10" s="17"/>
      <c r="BN10" s="35"/>
      <c r="BO10" s="76"/>
      <c r="BP10" s="17"/>
      <c r="BQ10" s="17"/>
      <c r="BR10" s="17"/>
      <c r="BS10" s="35"/>
      <c r="BT10" s="91">
        <v>1</v>
      </c>
      <c r="BU10" s="90">
        <v>0.22</v>
      </c>
      <c r="BV10" s="17"/>
      <c r="BW10" s="17"/>
      <c r="BX10" s="35"/>
      <c r="BY10" s="91">
        <v>7</v>
      </c>
      <c r="BZ10" s="91">
        <v>6</v>
      </c>
      <c r="CA10" s="91">
        <v>-2</v>
      </c>
      <c r="CB10" s="17"/>
      <c r="CC10" s="35"/>
      <c r="CD10" s="9"/>
      <c r="CE10" s="17"/>
      <c r="CF10" s="17"/>
      <c r="CG10" s="17"/>
      <c r="CH10" s="35"/>
      <c r="CI10" s="9"/>
      <c r="CJ10" s="88"/>
      <c r="CK10" s="89"/>
      <c r="CL10" s="90"/>
      <c r="CM10" s="35"/>
      <c r="CN10" s="91">
        <v>66</v>
      </c>
      <c r="CO10" s="91">
        <v>-10440</v>
      </c>
      <c r="CP10" s="91">
        <v>3453</v>
      </c>
      <c r="CQ10" s="91">
        <v>1629</v>
      </c>
      <c r="CR10" s="35">
        <v>-3.4099999999999998E-2</v>
      </c>
      <c r="CS10" s="91">
        <v>5</v>
      </c>
      <c r="CT10" s="17"/>
      <c r="CU10" s="91">
        <v>74</v>
      </c>
      <c r="CV10" s="17"/>
      <c r="CW10" s="35">
        <v>5.5E-2</v>
      </c>
      <c r="CX10" s="9"/>
      <c r="CY10" s="17"/>
      <c r="CZ10" s="17"/>
      <c r="DA10" s="17"/>
      <c r="DB10" s="35"/>
      <c r="DC10" s="9">
        <v>11</v>
      </c>
      <c r="DD10" s="91">
        <v>17503</v>
      </c>
      <c r="DE10" s="91">
        <v>680</v>
      </c>
      <c r="DF10" s="91">
        <v>1074</v>
      </c>
      <c r="DG10" s="35">
        <v>4.7800000000000002E-2</v>
      </c>
      <c r="DH10" s="9"/>
      <c r="DI10" s="17"/>
      <c r="DJ10" s="17"/>
      <c r="DK10" s="17"/>
      <c r="DL10" s="35"/>
      <c r="DM10" s="60">
        <v>1</v>
      </c>
      <c r="DN10" s="36">
        <v>133.83000000000001</v>
      </c>
      <c r="DO10" s="36">
        <v>-0.03</v>
      </c>
      <c r="DP10" s="36">
        <v>0.3</v>
      </c>
      <c r="DQ10" s="35">
        <v>2.9999999999999997E-4</v>
      </c>
      <c r="DR10" s="91">
        <v>11</v>
      </c>
      <c r="DS10" s="90">
        <v>448.34</v>
      </c>
      <c r="DT10" s="90">
        <v>448.34</v>
      </c>
      <c r="DU10" s="90">
        <v>16.079999999999998</v>
      </c>
      <c r="DV10" s="35">
        <v>4.4299999999999999E-2</v>
      </c>
      <c r="DW10" s="76"/>
      <c r="DX10" s="77"/>
      <c r="DY10" s="77"/>
      <c r="DZ10" s="77"/>
      <c r="EA10" s="35"/>
      <c r="EB10" s="91">
        <v>2</v>
      </c>
      <c r="EC10" s="91">
        <v>46</v>
      </c>
      <c r="ED10" s="91"/>
      <c r="EE10" s="91">
        <v>-2</v>
      </c>
      <c r="EF10" s="35"/>
      <c r="EG10" s="91">
        <v>28</v>
      </c>
      <c r="EH10" s="90">
        <v>6684.44</v>
      </c>
      <c r="EI10" s="90">
        <v>1129.3699999999999</v>
      </c>
      <c r="EJ10" s="90">
        <v>188.7</v>
      </c>
      <c r="EK10" s="35">
        <v>1.29E-2</v>
      </c>
      <c r="EL10" s="91"/>
      <c r="EM10" s="90">
        <v>3716.67</v>
      </c>
      <c r="EN10" s="90">
        <v>2537.29</v>
      </c>
      <c r="EO10" s="90">
        <v>383.68</v>
      </c>
      <c r="EP10" s="35">
        <v>2.92E-2</v>
      </c>
      <c r="EQ10" s="9">
        <v>21</v>
      </c>
      <c r="ER10" s="91">
        <v>1811</v>
      </c>
      <c r="ES10" s="91">
        <v>502</v>
      </c>
      <c r="ET10" s="91">
        <v>469</v>
      </c>
      <c r="EU10" s="35">
        <v>1.06E-2</v>
      </c>
      <c r="EV10" s="91">
        <v>8</v>
      </c>
      <c r="EW10" s="91">
        <v>87</v>
      </c>
      <c r="EX10" s="91">
        <v>76</v>
      </c>
      <c r="EY10" s="91">
        <v>3073</v>
      </c>
      <c r="EZ10" s="114">
        <v>0.02</v>
      </c>
    </row>
    <row r="11" spans="1:156" s="40" customFormat="1" x14ac:dyDescent="0.25">
      <c r="A11" s="19" t="s">
        <v>258</v>
      </c>
      <c r="B11" s="31">
        <f>B6+B7+B8+B9+B10</f>
        <v>1</v>
      </c>
      <c r="C11" s="31">
        <f t="shared" ref="C11:BN11" si="0">C6+C7+C8+C9+C10</f>
        <v>0</v>
      </c>
      <c r="D11" s="31">
        <f t="shared" si="0"/>
        <v>0</v>
      </c>
      <c r="E11" s="31">
        <f t="shared" si="0"/>
        <v>0</v>
      </c>
      <c r="F11" s="31">
        <f t="shared" si="0"/>
        <v>0</v>
      </c>
      <c r="G11" s="31">
        <f t="shared" si="0"/>
        <v>0</v>
      </c>
      <c r="H11" s="31">
        <f t="shared" si="0"/>
        <v>0</v>
      </c>
      <c r="I11" s="31">
        <f t="shared" si="0"/>
        <v>256</v>
      </c>
      <c r="J11" s="31">
        <f t="shared" si="0"/>
        <v>0</v>
      </c>
      <c r="K11" s="37">
        <f t="shared" si="0"/>
        <v>6.7000000000000002E-3</v>
      </c>
      <c r="L11" s="31">
        <f t="shared" si="0"/>
        <v>79</v>
      </c>
      <c r="M11" s="31">
        <f t="shared" si="0"/>
        <v>121724.48999999999</v>
      </c>
      <c r="N11" s="31">
        <f t="shared" si="0"/>
        <v>16059.029999999999</v>
      </c>
      <c r="O11" s="31">
        <f t="shared" si="0"/>
        <v>109814.59</v>
      </c>
      <c r="P11" s="37">
        <f t="shared" si="0"/>
        <v>0.3523</v>
      </c>
      <c r="Q11" s="31">
        <f>Q7+Q8</f>
        <v>198</v>
      </c>
      <c r="R11" s="19">
        <f>R7+R8</f>
        <v>136353.43</v>
      </c>
      <c r="S11" s="19">
        <f t="shared" ref="S11:T11" si="1">S7+S8</f>
        <v>3906.28</v>
      </c>
      <c r="T11" s="19">
        <f t="shared" si="1"/>
        <v>104172.73999999999</v>
      </c>
      <c r="U11" s="37">
        <f t="shared" si="0"/>
        <v>0.40569999999999995</v>
      </c>
      <c r="V11" s="31">
        <f t="shared" si="0"/>
        <v>0</v>
      </c>
      <c r="W11" s="31">
        <f t="shared" si="0"/>
        <v>0</v>
      </c>
      <c r="X11" s="31">
        <f t="shared" si="0"/>
        <v>0</v>
      </c>
      <c r="Y11" s="31">
        <f t="shared" si="0"/>
        <v>0</v>
      </c>
      <c r="Z11" s="62">
        <f t="shared" si="0"/>
        <v>0</v>
      </c>
      <c r="AA11" s="31">
        <f t="shared" si="0"/>
        <v>64</v>
      </c>
      <c r="AB11" s="31">
        <f t="shared" si="0"/>
        <v>13442</v>
      </c>
      <c r="AC11" s="31">
        <f t="shared" si="0"/>
        <v>1259</v>
      </c>
      <c r="AD11" s="31">
        <f t="shared" si="0"/>
        <v>8223</v>
      </c>
      <c r="AE11" s="62">
        <f t="shared" si="0"/>
        <v>0.17899999999999999</v>
      </c>
      <c r="AF11" s="31">
        <f t="shared" si="0"/>
        <v>4</v>
      </c>
      <c r="AG11" s="31">
        <f t="shared" si="0"/>
        <v>1834</v>
      </c>
      <c r="AH11" s="31">
        <f t="shared" si="0"/>
        <v>415</v>
      </c>
      <c r="AI11" s="31">
        <f t="shared" si="0"/>
        <v>0</v>
      </c>
      <c r="AJ11" s="62">
        <f t="shared" si="0"/>
        <v>0.11</v>
      </c>
      <c r="AK11" s="31">
        <f t="shared" si="0"/>
        <v>15</v>
      </c>
      <c r="AL11" s="31">
        <f t="shared" si="0"/>
        <v>1.51</v>
      </c>
      <c r="AM11" s="31">
        <f t="shared" si="0"/>
        <v>145.44</v>
      </c>
      <c r="AN11" s="31">
        <f t="shared" si="0"/>
        <v>-1.7</v>
      </c>
      <c r="AO11" s="62">
        <f t="shared" si="0"/>
        <v>0.01</v>
      </c>
      <c r="AP11" s="31">
        <f t="shared" si="0"/>
        <v>77</v>
      </c>
      <c r="AQ11" s="31">
        <f t="shared" si="0"/>
        <v>35276</v>
      </c>
      <c r="AR11" s="31">
        <f t="shared" si="0"/>
        <v>3486</v>
      </c>
      <c r="AS11" s="31">
        <f t="shared" si="0"/>
        <v>6072</v>
      </c>
      <c r="AT11" s="37">
        <f t="shared" si="0"/>
        <v>0.2863</v>
      </c>
      <c r="AU11" s="31">
        <f t="shared" si="0"/>
        <v>73</v>
      </c>
      <c r="AV11" s="31">
        <f t="shared" si="0"/>
        <v>66180</v>
      </c>
      <c r="AW11" s="31">
        <f t="shared" si="0"/>
        <v>594</v>
      </c>
      <c r="AX11" s="31">
        <f t="shared" si="0"/>
        <v>6991</v>
      </c>
      <c r="AY11" s="37">
        <f t="shared" si="0"/>
        <v>0.6782999999999999</v>
      </c>
      <c r="AZ11" s="31">
        <f t="shared" si="0"/>
        <v>143</v>
      </c>
      <c r="BA11" s="31">
        <f t="shared" si="0"/>
        <v>44468</v>
      </c>
      <c r="BB11" s="31">
        <f t="shared" si="0"/>
        <v>2349</v>
      </c>
      <c r="BC11" s="31">
        <f t="shared" si="0"/>
        <v>14603</v>
      </c>
      <c r="BD11" s="37">
        <f t="shared" si="0"/>
        <v>9.3000000000000013E-2</v>
      </c>
      <c r="BE11" s="31">
        <f t="shared" si="0"/>
        <v>226</v>
      </c>
      <c r="BF11" s="31">
        <f t="shared" si="0"/>
        <v>77769</v>
      </c>
      <c r="BG11" s="31">
        <f t="shared" si="0"/>
        <v>7920</v>
      </c>
      <c r="BH11" s="31">
        <f t="shared" si="0"/>
        <v>32295</v>
      </c>
      <c r="BI11" s="62">
        <f t="shared" si="0"/>
        <v>0.23</v>
      </c>
      <c r="BJ11" s="31">
        <f t="shared" si="0"/>
        <v>167</v>
      </c>
      <c r="BK11" s="31">
        <f t="shared" si="0"/>
        <v>85646.7</v>
      </c>
      <c r="BL11" s="31">
        <f t="shared" si="0"/>
        <v>4849.16</v>
      </c>
      <c r="BM11" s="31">
        <f t="shared" si="0"/>
        <v>10534.87</v>
      </c>
      <c r="BN11" s="62">
        <f t="shared" si="0"/>
        <v>0.37</v>
      </c>
      <c r="BO11" s="31">
        <f t="shared" ref="BO11:DZ11" si="2">BO6+BO7+BO8+BO9+BO10</f>
        <v>1</v>
      </c>
      <c r="BP11" s="31">
        <f t="shared" si="2"/>
        <v>0</v>
      </c>
      <c r="BQ11" s="31">
        <f t="shared" si="2"/>
        <v>1.63</v>
      </c>
      <c r="BR11" s="31">
        <f t="shared" si="2"/>
        <v>0</v>
      </c>
      <c r="BS11" s="31">
        <f t="shared" si="2"/>
        <v>0</v>
      </c>
      <c r="BT11" s="31">
        <f t="shared" si="2"/>
        <v>14</v>
      </c>
      <c r="BU11" s="31">
        <f t="shared" si="2"/>
        <v>2995.96</v>
      </c>
      <c r="BV11" s="31">
        <f t="shared" si="2"/>
        <v>1047.8900000000001</v>
      </c>
      <c r="BW11" s="31">
        <f t="shared" si="2"/>
        <v>0</v>
      </c>
      <c r="BX11" s="37">
        <f t="shared" si="2"/>
        <v>0.1787</v>
      </c>
      <c r="BY11" s="31">
        <f t="shared" si="2"/>
        <v>49</v>
      </c>
      <c r="BZ11" s="31">
        <f t="shared" si="2"/>
        <v>16844</v>
      </c>
      <c r="CA11" s="31">
        <f t="shared" si="2"/>
        <v>235</v>
      </c>
      <c r="CB11" s="31">
        <f t="shared" si="2"/>
        <v>146</v>
      </c>
      <c r="CC11" s="62">
        <f t="shared" si="2"/>
        <v>0.25</v>
      </c>
      <c r="CD11" s="31">
        <f t="shared" si="2"/>
        <v>0</v>
      </c>
      <c r="CE11" s="31">
        <f t="shared" si="2"/>
        <v>0</v>
      </c>
      <c r="CF11" s="31">
        <f t="shared" si="2"/>
        <v>0</v>
      </c>
      <c r="CG11" s="31">
        <f t="shared" si="2"/>
        <v>0</v>
      </c>
      <c r="CH11" s="31">
        <f t="shared" si="2"/>
        <v>0</v>
      </c>
      <c r="CI11" s="31">
        <f t="shared" si="2"/>
        <v>0</v>
      </c>
      <c r="CJ11" s="31">
        <f t="shared" si="2"/>
        <v>0</v>
      </c>
      <c r="CK11" s="31">
        <f t="shared" si="2"/>
        <v>0</v>
      </c>
      <c r="CL11" s="31">
        <f t="shared" si="2"/>
        <v>0</v>
      </c>
      <c r="CM11" s="31">
        <f t="shared" si="2"/>
        <v>0</v>
      </c>
      <c r="CN11" s="31">
        <f t="shared" si="2"/>
        <v>246</v>
      </c>
      <c r="CO11" s="31">
        <f t="shared" si="2"/>
        <v>-2977</v>
      </c>
      <c r="CP11" s="31">
        <f t="shared" si="2"/>
        <v>11558</v>
      </c>
      <c r="CQ11" s="31">
        <f t="shared" si="2"/>
        <v>9755</v>
      </c>
      <c r="CR11" s="37">
        <f t="shared" si="2"/>
        <v>0.11660000000000001</v>
      </c>
      <c r="CS11" s="31">
        <f t="shared" si="2"/>
        <v>18</v>
      </c>
      <c r="CT11" s="31">
        <f t="shared" si="2"/>
        <v>194</v>
      </c>
      <c r="CU11" s="31">
        <f t="shared" si="2"/>
        <v>185</v>
      </c>
      <c r="CV11" s="31">
        <f t="shared" si="2"/>
        <v>0</v>
      </c>
      <c r="CW11" s="62">
        <f t="shared" si="2"/>
        <v>0.28189999999999998</v>
      </c>
      <c r="CX11" s="31">
        <f t="shared" si="2"/>
        <v>2</v>
      </c>
      <c r="CY11" s="31">
        <f t="shared" si="2"/>
        <v>0</v>
      </c>
      <c r="CZ11" s="19">
        <f t="shared" si="2"/>
        <v>283</v>
      </c>
      <c r="DA11" s="31">
        <f t="shared" si="2"/>
        <v>0</v>
      </c>
      <c r="DB11" s="37">
        <f t="shared" si="2"/>
        <v>4.2300000000000004E-2</v>
      </c>
      <c r="DC11" s="31">
        <f t="shared" si="2"/>
        <v>183</v>
      </c>
      <c r="DD11" s="31">
        <f t="shared" si="2"/>
        <v>79419</v>
      </c>
      <c r="DE11" s="31">
        <f t="shared" si="2"/>
        <v>6557</v>
      </c>
      <c r="DF11" s="31">
        <f t="shared" si="2"/>
        <v>14135</v>
      </c>
      <c r="DG11" s="37">
        <f t="shared" si="2"/>
        <v>0.24860000000000002</v>
      </c>
      <c r="DH11" s="31">
        <f t="shared" si="2"/>
        <v>70</v>
      </c>
      <c r="DI11" s="19">
        <f t="shared" si="2"/>
        <v>12683.49</v>
      </c>
      <c r="DJ11" s="19">
        <f t="shared" si="2"/>
        <v>847.57999999999993</v>
      </c>
      <c r="DK11" s="19">
        <f t="shared" si="2"/>
        <v>4042.8500000000004</v>
      </c>
      <c r="DL11" s="37">
        <f t="shared" si="2"/>
        <v>0.22720000000000001</v>
      </c>
      <c r="DM11" s="31">
        <f t="shared" si="2"/>
        <v>153</v>
      </c>
      <c r="DN11" s="19">
        <f t="shared" si="2"/>
        <v>125634.79</v>
      </c>
      <c r="DO11" s="19">
        <f t="shared" si="2"/>
        <v>5182.16</v>
      </c>
      <c r="DP11" s="19">
        <f t="shared" si="2"/>
        <v>4132.16</v>
      </c>
      <c r="DQ11" s="37">
        <f t="shared" si="2"/>
        <v>0.27779999999999999</v>
      </c>
      <c r="DR11" s="31">
        <f t="shared" si="2"/>
        <v>26</v>
      </c>
      <c r="DS11" s="19">
        <f t="shared" si="2"/>
        <v>1964.3</v>
      </c>
      <c r="DT11" s="19">
        <f t="shared" si="2"/>
        <v>1964.3</v>
      </c>
      <c r="DU11" s="19">
        <f t="shared" si="2"/>
        <v>173.67000000000002</v>
      </c>
      <c r="DV11" s="37">
        <f t="shared" si="2"/>
        <v>0.1986</v>
      </c>
      <c r="DW11" s="31">
        <f t="shared" si="2"/>
        <v>0</v>
      </c>
      <c r="DX11" s="31">
        <f t="shared" si="2"/>
        <v>0</v>
      </c>
      <c r="DY11" s="31">
        <f t="shared" si="2"/>
        <v>0</v>
      </c>
      <c r="DZ11" s="31">
        <f t="shared" si="2"/>
        <v>0</v>
      </c>
      <c r="EA11" s="31">
        <f t="shared" ref="EA11:EZ11" si="3">EA6+EA7+EA8+EA9+EA10</f>
        <v>0</v>
      </c>
      <c r="EB11" s="31">
        <f t="shared" si="3"/>
        <v>123</v>
      </c>
      <c r="EC11" s="31">
        <f t="shared" si="3"/>
        <v>82029</v>
      </c>
      <c r="ED11" s="31">
        <f t="shared" si="3"/>
        <v>5683</v>
      </c>
      <c r="EE11" s="31">
        <f t="shared" si="3"/>
        <v>28305</v>
      </c>
      <c r="EF11" s="62">
        <f t="shared" si="3"/>
        <v>0.37</v>
      </c>
      <c r="EG11" s="31">
        <f t="shared" si="3"/>
        <v>384</v>
      </c>
      <c r="EH11" s="31">
        <f t="shared" si="3"/>
        <v>58997.5</v>
      </c>
      <c r="EI11" s="31">
        <f t="shared" si="3"/>
        <v>18469.259999999998</v>
      </c>
      <c r="EJ11" s="31">
        <f t="shared" si="3"/>
        <v>86252.03</v>
      </c>
      <c r="EK11" s="37">
        <f t="shared" si="3"/>
        <v>0.26300000000000001</v>
      </c>
      <c r="EL11" s="31">
        <f t="shared" si="3"/>
        <v>0</v>
      </c>
      <c r="EM11" s="31">
        <f t="shared" si="3"/>
        <v>19944.949999999997</v>
      </c>
      <c r="EN11" s="31">
        <f t="shared" si="3"/>
        <v>12612.330000000002</v>
      </c>
      <c r="EO11" s="31">
        <f t="shared" si="3"/>
        <v>11062.9</v>
      </c>
      <c r="EP11" s="37">
        <f t="shared" si="3"/>
        <v>0.192</v>
      </c>
      <c r="EQ11" s="31">
        <f t="shared" si="3"/>
        <v>180</v>
      </c>
      <c r="ER11" s="31">
        <f t="shared" si="3"/>
        <v>33465</v>
      </c>
      <c r="ES11" s="31">
        <f t="shared" si="3"/>
        <v>19497</v>
      </c>
      <c r="ET11" s="31">
        <f t="shared" si="3"/>
        <v>18211</v>
      </c>
      <c r="EU11" s="62">
        <f t="shared" si="3"/>
        <v>0.27240000000000003</v>
      </c>
      <c r="EV11" s="31">
        <f t="shared" si="3"/>
        <v>97</v>
      </c>
      <c r="EW11" s="31">
        <f t="shared" si="3"/>
        <v>44651</v>
      </c>
      <c r="EX11" s="31">
        <f t="shared" si="3"/>
        <v>3347</v>
      </c>
      <c r="EY11" s="31">
        <f t="shared" si="3"/>
        <v>22724</v>
      </c>
      <c r="EZ11" s="62">
        <f t="shared" si="3"/>
        <v>0.39</v>
      </c>
    </row>
    <row r="12" spans="1:156" x14ac:dyDescent="0.25">
      <c r="A12" s="111" t="s">
        <v>259</v>
      </c>
      <c r="B12" s="91"/>
      <c r="C12" s="90"/>
      <c r="D12" s="90"/>
      <c r="E12" s="90"/>
      <c r="F12" s="35"/>
      <c r="G12" s="91"/>
      <c r="H12" s="90"/>
      <c r="I12" s="90"/>
      <c r="J12" s="90"/>
      <c r="K12" s="35"/>
      <c r="L12" s="91"/>
      <c r="M12" s="90"/>
      <c r="N12" s="90"/>
      <c r="O12" s="34"/>
      <c r="P12" s="90"/>
      <c r="Q12" s="91"/>
      <c r="R12" s="90"/>
      <c r="S12" s="90"/>
      <c r="T12" s="90"/>
      <c r="U12" s="35"/>
      <c r="V12" s="91"/>
      <c r="W12" s="90"/>
      <c r="X12" s="90"/>
      <c r="Y12" s="90"/>
      <c r="Z12" s="35"/>
      <c r="AA12" s="91"/>
      <c r="AB12" s="90"/>
      <c r="AC12" s="90"/>
      <c r="AD12" s="90"/>
      <c r="AE12" s="35"/>
      <c r="AF12" s="91"/>
      <c r="AG12" s="90"/>
      <c r="AH12" s="90"/>
      <c r="AI12" s="90"/>
      <c r="AJ12" s="35"/>
      <c r="AK12" s="91"/>
      <c r="AL12" s="90"/>
      <c r="AM12" s="90"/>
      <c r="AN12" s="90"/>
      <c r="AO12" s="35"/>
      <c r="AP12" s="91"/>
      <c r="AQ12" s="90"/>
      <c r="AR12" s="90"/>
      <c r="AS12" s="90"/>
      <c r="AT12" s="35"/>
      <c r="AU12" s="91"/>
      <c r="AV12" s="90"/>
      <c r="AW12" s="90"/>
      <c r="AX12" s="90"/>
      <c r="AY12" s="35"/>
      <c r="AZ12" s="91"/>
      <c r="BA12" s="90"/>
      <c r="BB12" s="90"/>
      <c r="BC12" s="90"/>
      <c r="BD12" s="35"/>
      <c r="BE12" s="91"/>
      <c r="BF12" s="90"/>
      <c r="BG12" s="90"/>
      <c r="BH12" s="90"/>
      <c r="BI12" s="35"/>
      <c r="BJ12" s="91"/>
      <c r="BK12" s="90"/>
      <c r="BL12" s="90"/>
      <c r="BM12" s="90"/>
      <c r="BN12" s="35"/>
      <c r="BO12" s="91"/>
      <c r="BP12" s="90"/>
      <c r="BQ12" s="90"/>
      <c r="BR12" s="90"/>
      <c r="BS12" s="35"/>
      <c r="BT12" s="91"/>
      <c r="BU12" s="90"/>
      <c r="BV12" s="90"/>
      <c r="BW12" s="90"/>
      <c r="BX12" s="35"/>
      <c r="BY12" s="91"/>
      <c r="BZ12" s="90"/>
      <c r="CA12" s="90"/>
      <c r="CB12" s="90"/>
      <c r="CC12" s="35"/>
      <c r="CD12" s="91"/>
      <c r="CE12" s="90"/>
      <c r="CF12" s="90"/>
      <c r="CG12" s="90"/>
      <c r="CH12" s="35"/>
      <c r="CI12" s="91"/>
      <c r="CJ12" s="90"/>
      <c r="CK12" s="90"/>
      <c r="CL12" s="90"/>
      <c r="CM12" s="35"/>
      <c r="CN12" s="91"/>
      <c r="CO12" s="90"/>
      <c r="CP12" s="90"/>
      <c r="CQ12" s="90"/>
      <c r="CR12" s="35"/>
      <c r="CS12" s="91"/>
      <c r="CT12" s="90"/>
      <c r="CU12" s="90"/>
      <c r="CV12" s="90"/>
      <c r="CW12" s="35"/>
      <c r="CX12" s="91"/>
      <c r="CY12" s="90"/>
      <c r="CZ12" s="90"/>
      <c r="DA12" s="90"/>
      <c r="DB12" s="35"/>
      <c r="DC12" s="91"/>
      <c r="DD12" s="138"/>
      <c r="DE12" s="138"/>
      <c r="DF12" s="138"/>
      <c r="DG12" s="36"/>
      <c r="DH12" s="91"/>
      <c r="DI12" s="90"/>
      <c r="DJ12" s="90"/>
      <c r="DK12" s="90"/>
      <c r="DL12" s="35"/>
      <c r="DM12" s="60"/>
      <c r="DN12" s="36"/>
      <c r="DO12" s="36"/>
      <c r="DP12" s="36"/>
      <c r="DQ12" s="35"/>
      <c r="DR12" s="91"/>
      <c r="DS12" s="90"/>
      <c r="DT12" s="90"/>
      <c r="DU12" s="90"/>
      <c r="DV12" s="35"/>
      <c r="DW12" s="91"/>
      <c r="DX12" s="90"/>
      <c r="DY12" s="90"/>
      <c r="DZ12" s="90"/>
      <c r="EA12" s="35"/>
      <c r="EB12" s="91"/>
      <c r="EC12" s="90"/>
      <c r="ED12" s="90"/>
      <c r="EE12" s="90"/>
      <c r="EF12" s="35"/>
      <c r="EG12" s="91"/>
      <c r="EH12" s="90"/>
      <c r="EI12" s="90"/>
      <c r="EJ12" s="90"/>
      <c r="EK12" s="35"/>
      <c r="EL12" s="90"/>
      <c r="EM12" s="90"/>
      <c r="EN12" s="90"/>
      <c r="EO12" s="90"/>
      <c r="EP12" s="35"/>
      <c r="EQ12" s="91"/>
      <c r="ER12" s="90"/>
      <c r="ES12" s="90"/>
      <c r="ET12" s="90"/>
      <c r="EU12" s="35"/>
      <c r="EV12" s="91"/>
      <c r="EW12" s="90"/>
      <c r="EX12" s="90"/>
      <c r="EY12" s="90"/>
      <c r="EZ12" s="35"/>
    </row>
    <row r="13" spans="1:156" x14ac:dyDescent="0.25">
      <c r="A13" s="18" t="s">
        <v>260</v>
      </c>
      <c r="B13" s="9"/>
      <c r="C13" s="17"/>
      <c r="D13" s="17"/>
      <c r="E13" s="17"/>
      <c r="F13" s="35"/>
      <c r="G13" s="9"/>
      <c r="H13" s="17"/>
      <c r="I13" s="17"/>
      <c r="J13" s="17"/>
      <c r="K13" s="35"/>
      <c r="L13" s="9"/>
      <c r="M13" s="17"/>
      <c r="N13" s="17"/>
      <c r="O13" s="34"/>
      <c r="P13" s="17"/>
      <c r="Q13" s="91">
        <v>21</v>
      </c>
      <c r="R13"/>
      <c r="S13" s="17"/>
      <c r="T13" s="90">
        <v>28851.48</v>
      </c>
      <c r="U13" s="34">
        <v>4.7899999999999998E-2</v>
      </c>
      <c r="V13" s="9"/>
      <c r="W13" s="17"/>
      <c r="X13" s="17"/>
      <c r="Y13" s="17"/>
      <c r="Z13" s="35"/>
      <c r="AA13" s="91">
        <v>15</v>
      </c>
      <c r="AB13" s="17"/>
      <c r="AC13" s="17"/>
      <c r="AD13" s="91">
        <v>2472</v>
      </c>
      <c r="AE13" s="35">
        <v>1.9300000000000001E-2</v>
      </c>
      <c r="AF13" s="91">
        <v>3</v>
      </c>
      <c r="AG13" s="17"/>
      <c r="AH13" s="17"/>
      <c r="AI13" s="17"/>
      <c r="AJ13" s="35"/>
      <c r="AK13" s="91">
        <v>4</v>
      </c>
      <c r="AL13" s="17"/>
      <c r="AM13" s="17"/>
      <c r="AN13" s="90">
        <v>130.80000000000001</v>
      </c>
      <c r="AO13" s="114">
        <v>0.01</v>
      </c>
      <c r="AP13" s="91">
        <v>15</v>
      </c>
      <c r="AQ13" s="91">
        <v>-8</v>
      </c>
      <c r="AR13" s="91"/>
      <c r="AS13" s="91">
        <v>1443</v>
      </c>
      <c r="AT13" s="35">
        <v>9.1999999999999998E-3</v>
      </c>
      <c r="AU13" s="91">
        <v>6</v>
      </c>
      <c r="AV13" s="91"/>
      <c r="AW13" s="91"/>
      <c r="AX13" s="91">
        <v>640</v>
      </c>
      <c r="AY13" s="35">
        <v>5.8999999999999999E-3</v>
      </c>
      <c r="AZ13" s="91">
        <v>20</v>
      </c>
      <c r="BA13" s="77"/>
      <c r="BB13" s="91"/>
      <c r="BC13" s="91">
        <v>7895</v>
      </c>
      <c r="BD13" s="35">
        <v>1.2E-2</v>
      </c>
      <c r="BE13" s="91">
        <v>22</v>
      </c>
      <c r="BF13" s="91"/>
      <c r="BG13" s="91"/>
      <c r="BH13" s="91">
        <v>33994</v>
      </c>
      <c r="BI13" s="114">
        <v>7.0000000000000007E-2</v>
      </c>
      <c r="BJ13" s="91">
        <v>13</v>
      </c>
      <c r="BK13" s="90">
        <v>-3.76</v>
      </c>
      <c r="BL13" s="90">
        <v>-0.35</v>
      </c>
      <c r="BM13" s="90">
        <v>5488.25</v>
      </c>
      <c r="BN13" s="114">
        <v>0.02</v>
      </c>
      <c r="BO13" s="91">
        <v>6</v>
      </c>
      <c r="BP13" s="91"/>
      <c r="BQ13" s="91"/>
      <c r="BR13" s="91">
        <v>122</v>
      </c>
      <c r="BS13" s="35">
        <v>7.0000000000000001E-3</v>
      </c>
      <c r="BT13" s="9"/>
      <c r="BU13" s="17"/>
      <c r="BV13" s="17"/>
      <c r="BW13" s="17"/>
      <c r="BX13" s="35"/>
      <c r="BY13" s="91">
        <v>2</v>
      </c>
      <c r="BZ13" s="17"/>
      <c r="CA13" s="17"/>
      <c r="CB13" s="91">
        <v>64</v>
      </c>
      <c r="CC13" s="35"/>
      <c r="CD13" s="9"/>
      <c r="CE13" s="17"/>
      <c r="CF13" s="17"/>
      <c r="CG13" s="17"/>
      <c r="CH13" s="35"/>
      <c r="CI13" s="9"/>
      <c r="CJ13" s="17"/>
      <c r="CK13" s="17"/>
      <c r="CL13" s="17"/>
      <c r="CM13" s="35"/>
      <c r="CN13" s="91">
        <v>25</v>
      </c>
      <c r="CO13" s="91">
        <v>67767</v>
      </c>
      <c r="CP13" s="91">
        <v>4173</v>
      </c>
      <c r="CQ13" s="91">
        <v>52694</v>
      </c>
      <c r="CR13" s="35">
        <v>0.7923</v>
      </c>
      <c r="CS13" s="9"/>
      <c r="CT13" s="17"/>
      <c r="CU13" s="17"/>
      <c r="CV13" s="17"/>
      <c r="CW13" s="35"/>
      <c r="CX13" s="9"/>
      <c r="CY13" s="17"/>
      <c r="CZ13" s="17"/>
      <c r="DA13" s="17"/>
      <c r="DB13" s="35"/>
      <c r="DC13" s="9">
        <v>22</v>
      </c>
      <c r="DD13" s="138"/>
      <c r="DE13" s="138"/>
      <c r="DF13" s="91">
        <v>9400</v>
      </c>
      <c r="DG13" s="35">
        <v>2.3400000000000001E-2</v>
      </c>
      <c r="DH13" s="91">
        <v>5</v>
      </c>
      <c r="DI13" s="17"/>
      <c r="DJ13" s="17"/>
      <c r="DK13" s="90">
        <v>355.92</v>
      </c>
      <c r="DL13" s="35">
        <v>4.5999999999999999E-3</v>
      </c>
      <c r="DM13" s="60">
        <v>17</v>
      </c>
      <c r="DN13" s="36"/>
      <c r="DO13" s="36"/>
      <c r="DP13" s="36">
        <v>37676.089999999997</v>
      </c>
      <c r="DQ13" s="35">
        <v>7.7499999999999999E-2</v>
      </c>
      <c r="DR13" s="91">
        <v>5</v>
      </c>
      <c r="DS13" s="17"/>
      <c r="DT13" s="17"/>
      <c r="DU13" s="90">
        <v>67.260000000000005</v>
      </c>
      <c r="DV13" s="35">
        <v>4.4000000000000003E-3</v>
      </c>
      <c r="DW13" s="9"/>
      <c r="DX13" s="17"/>
      <c r="DY13" s="17"/>
      <c r="DZ13" s="17"/>
      <c r="EA13" s="35"/>
      <c r="EB13" s="91">
        <v>11</v>
      </c>
      <c r="EC13" s="91"/>
      <c r="ED13" s="91">
        <v>24</v>
      </c>
      <c r="EE13" s="91">
        <v>3073</v>
      </c>
      <c r="EF13" s="114">
        <v>0.01</v>
      </c>
      <c r="EG13" s="91">
        <v>17</v>
      </c>
      <c r="EH13" s="90">
        <v>1374.35</v>
      </c>
      <c r="EI13" s="17"/>
      <c r="EJ13" s="90">
        <v>63513.59</v>
      </c>
      <c r="EK13" s="35">
        <v>0.104</v>
      </c>
      <c r="EL13" s="17"/>
      <c r="EM13" s="91">
        <v>-782.72</v>
      </c>
      <c r="EN13" s="90">
        <v>-2.67</v>
      </c>
      <c r="EO13" s="91">
        <v>23944.19</v>
      </c>
      <c r="EP13" s="35">
        <v>0.1019</v>
      </c>
      <c r="EQ13" s="9">
        <v>28</v>
      </c>
      <c r="ER13" s="91">
        <v>117666</v>
      </c>
      <c r="ES13" s="91">
        <v>24620</v>
      </c>
      <c r="ET13" s="91">
        <v>47817</v>
      </c>
      <c r="EU13" s="35">
        <v>0.72760000000000002</v>
      </c>
      <c r="EV13" s="91">
        <v>8</v>
      </c>
      <c r="EW13" s="91">
        <v>254</v>
      </c>
      <c r="EX13" s="17"/>
      <c r="EY13" s="91">
        <v>24908</v>
      </c>
      <c r="EZ13" s="114">
        <v>0.13</v>
      </c>
    </row>
    <row r="14" spans="1:156" x14ac:dyDescent="0.25">
      <c r="A14" s="18" t="s">
        <v>261</v>
      </c>
      <c r="B14" s="91">
        <v>1</v>
      </c>
      <c r="C14" s="90">
        <v>4095.95</v>
      </c>
      <c r="D14" s="90">
        <v>72.47</v>
      </c>
      <c r="E14" s="17"/>
      <c r="F14" s="35">
        <v>0.64200000000000002</v>
      </c>
      <c r="G14" s="91">
        <v>2</v>
      </c>
      <c r="H14" s="90">
        <v>28771</v>
      </c>
      <c r="I14" s="17"/>
      <c r="J14" s="17"/>
      <c r="K14" s="35">
        <v>0.75990000000000002</v>
      </c>
      <c r="L14" s="91">
        <v>6</v>
      </c>
      <c r="M14" s="90">
        <v>81493.070000000007</v>
      </c>
      <c r="N14" s="90">
        <v>6438.77</v>
      </c>
      <c r="O14" s="90">
        <v>51874.22</v>
      </c>
      <c r="P14" s="35">
        <v>0.19889999999999999</v>
      </c>
      <c r="Q14" s="91">
        <v>8</v>
      </c>
      <c r="R14" s="90">
        <v>142525.94</v>
      </c>
      <c r="S14" s="90">
        <v>5196.54</v>
      </c>
      <c r="T14" s="90">
        <v>12822.14</v>
      </c>
      <c r="U14" s="34">
        <v>0.26650000000000001</v>
      </c>
      <c r="V14" s="91">
        <v>1</v>
      </c>
      <c r="W14" s="91">
        <v>161</v>
      </c>
      <c r="X14" s="17"/>
      <c r="Y14" s="17"/>
      <c r="Z14" s="35">
        <v>1.9E-3</v>
      </c>
      <c r="AA14" s="91">
        <v>7</v>
      </c>
      <c r="AB14" s="91">
        <v>65688</v>
      </c>
      <c r="AC14" s="91">
        <v>1428</v>
      </c>
      <c r="AD14" s="91">
        <v>982</v>
      </c>
      <c r="AE14" s="35">
        <v>0.53139999999999998</v>
      </c>
      <c r="AF14" s="91">
        <v>3</v>
      </c>
      <c r="AG14" s="91">
        <v>8204</v>
      </c>
      <c r="AH14" s="91">
        <v>1307</v>
      </c>
      <c r="AI14" s="17"/>
      <c r="AJ14" s="35">
        <v>0.46</v>
      </c>
      <c r="AK14" s="91">
        <v>3</v>
      </c>
      <c r="AL14" s="90">
        <v>6048.11</v>
      </c>
      <c r="AM14" s="77"/>
      <c r="AN14" s="77"/>
      <c r="AO14" s="114">
        <v>0.54</v>
      </c>
      <c r="AP14" s="91">
        <v>8</v>
      </c>
      <c r="AQ14" s="91">
        <v>31237</v>
      </c>
      <c r="AR14" s="91">
        <v>4609</v>
      </c>
      <c r="AS14" s="91">
        <v>622</v>
      </c>
      <c r="AT14" s="35">
        <v>0.2329</v>
      </c>
      <c r="AU14" s="91">
        <v>6</v>
      </c>
      <c r="AV14" s="91">
        <v>4873</v>
      </c>
      <c r="AW14" s="91">
        <v>113</v>
      </c>
      <c r="AX14" s="91">
        <v>784</v>
      </c>
      <c r="AY14" s="35">
        <v>5.3100000000000001E-2</v>
      </c>
      <c r="AZ14" s="91">
        <v>6</v>
      </c>
      <c r="BA14" s="91">
        <v>376418</v>
      </c>
      <c r="BB14" s="91">
        <v>7577</v>
      </c>
      <c r="BC14" s="91">
        <v>37039</v>
      </c>
      <c r="BD14" s="35">
        <v>0.63790000000000002</v>
      </c>
      <c r="BE14" s="91">
        <v>8</v>
      </c>
      <c r="BF14" s="91">
        <v>96628</v>
      </c>
      <c r="BG14" s="91">
        <v>6334</v>
      </c>
      <c r="BH14" s="91">
        <v>7331</v>
      </c>
      <c r="BI14" s="114">
        <v>0.22</v>
      </c>
      <c r="BJ14" s="91">
        <v>7</v>
      </c>
      <c r="BK14" s="90">
        <v>31534.91</v>
      </c>
      <c r="BL14" s="90">
        <v>2270.38</v>
      </c>
      <c r="BM14" s="90">
        <v>1993.8</v>
      </c>
      <c r="BN14" s="114">
        <v>0.13</v>
      </c>
      <c r="BO14" s="91">
        <v>4</v>
      </c>
      <c r="BP14" s="91">
        <v>8047</v>
      </c>
      <c r="BQ14" s="91">
        <v>236</v>
      </c>
      <c r="BR14" s="91">
        <v>91</v>
      </c>
      <c r="BS14" s="35">
        <v>0.48399999999999999</v>
      </c>
      <c r="BT14" s="91">
        <v>6</v>
      </c>
      <c r="BU14" s="90">
        <v>1764.93</v>
      </c>
      <c r="BV14" s="90">
        <v>906.19</v>
      </c>
      <c r="BW14" s="90">
        <v>103.28</v>
      </c>
      <c r="BX14" s="35">
        <v>0.1226</v>
      </c>
      <c r="BY14" s="91">
        <v>5</v>
      </c>
      <c r="BZ14" s="91">
        <v>23147</v>
      </c>
      <c r="CA14" s="91">
        <v>172</v>
      </c>
      <c r="CB14" s="91">
        <v>419</v>
      </c>
      <c r="CC14" s="114">
        <v>0.34</v>
      </c>
      <c r="CD14" s="91">
        <v>1</v>
      </c>
      <c r="CE14" s="90">
        <v>125.6</v>
      </c>
      <c r="CF14" s="90">
        <v>86.61</v>
      </c>
      <c r="CG14" s="90">
        <v>7.71</v>
      </c>
      <c r="CH14" s="114">
        <v>4.2299999999999997E-2</v>
      </c>
      <c r="CI14" s="91">
        <v>4</v>
      </c>
      <c r="CJ14" s="91">
        <v>43344</v>
      </c>
      <c r="CK14" s="91">
        <v>46</v>
      </c>
      <c r="CL14" s="17"/>
      <c r="CM14" s="114">
        <v>0.67</v>
      </c>
      <c r="CN14" s="91">
        <v>6</v>
      </c>
      <c r="CO14" s="91">
        <v>84</v>
      </c>
      <c r="CP14" s="91">
        <v>1998</v>
      </c>
      <c r="CQ14" s="91">
        <v>725</v>
      </c>
      <c r="CR14" s="35">
        <v>1.78E-2</v>
      </c>
      <c r="CS14" s="91">
        <v>3</v>
      </c>
      <c r="CT14" s="91">
        <v>-17</v>
      </c>
      <c r="CU14" s="91"/>
      <c r="CV14" s="17"/>
      <c r="CW14" s="35">
        <v>-1.2800000000000001E-2</v>
      </c>
      <c r="CX14" s="91">
        <v>1</v>
      </c>
      <c r="CY14" s="17"/>
      <c r="CZ14" s="17"/>
      <c r="DA14" s="91">
        <v>8</v>
      </c>
      <c r="DB14" s="35">
        <v>1.1999999999999999E-3</v>
      </c>
      <c r="DC14" s="9">
        <v>8</v>
      </c>
      <c r="DD14" s="91">
        <v>39305</v>
      </c>
      <c r="DE14" s="91">
        <v>1216</v>
      </c>
      <c r="DF14" s="91">
        <v>2663</v>
      </c>
      <c r="DG14" s="35">
        <v>0.10730000000000001</v>
      </c>
      <c r="DH14" s="91">
        <v>7</v>
      </c>
      <c r="DI14" s="90">
        <v>31223.38</v>
      </c>
      <c r="DJ14" s="90">
        <v>849.86</v>
      </c>
      <c r="DK14" s="90">
        <v>141.82</v>
      </c>
      <c r="DL14" s="35">
        <v>0.4163</v>
      </c>
      <c r="DM14" s="60">
        <v>10</v>
      </c>
      <c r="DN14" s="36">
        <v>51601.440000000002</v>
      </c>
      <c r="DO14" s="36">
        <v>3798.79</v>
      </c>
      <c r="DP14" s="36">
        <v>2609.77</v>
      </c>
      <c r="DQ14" s="35">
        <v>0.11940000000000001</v>
      </c>
      <c r="DR14" s="91">
        <v>2</v>
      </c>
      <c r="DS14" s="90">
        <v>42.43</v>
      </c>
      <c r="DT14" s="90">
        <v>24.39</v>
      </c>
      <c r="DU14" s="90"/>
      <c r="DV14" s="35">
        <v>4.4000000000000003E-3</v>
      </c>
      <c r="DW14" s="91">
        <v>3</v>
      </c>
      <c r="DX14" s="91"/>
      <c r="DY14" s="91">
        <v>3987</v>
      </c>
      <c r="DZ14" s="17"/>
      <c r="EA14" s="114">
        <v>0.06</v>
      </c>
      <c r="EB14" s="91">
        <v>8</v>
      </c>
      <c r="EC14" s="91">
        <v>92222</v>
      </c>
      <c r="ED14" s="91">
        <v>5948</v>
      </c>
      <c r="EE14" s="91">
        <v>8516</v>
      </c>
      <c r="EF14" s="114">
        <v>0.34</v>
      </c>
      <c r="EG14" s="91">
        <v>7</v>
      </c>
      <c r="EH14" s="90">
        <v>2928.11</v>
      </c>
      <c r="EI14" s="90">
        <v>7182.37</v>
      </c>
      <c r="EJ14" s="90">
        <v>38032.050000000003</v>
      </c>
      <c r="EK14" s="35">
        <v>7.7200000000000005E-2</v>
      </c>
      <c r="EL14" s="17"/>
      <c r="EM14" s="91">
        <v>2105.5</v>
      </c>
      <c r="EN14" s="91">
        <v>2520</v>
      </c>
      <c r="EO14" s="91">
        <v>3196.74</v>
      </c>
      <c r="EP14" s="35">
        <v>3.44E-2</v>
      </c>
      <c r="EQ14" s="9"/>
      <c r="ER14" s="17"/>
      <c r="ES14" s="17"/>
      <c r="ET14" s="17"/>
      <c r="EU14" s="35"/>
      <c r="EV14" s="91">
        <v>7</v>
      </c>
      <c r="EW14" s="91">
        <v>17152</v>
      </c>
      <c r="EX14" s="90"/>
      <c r="EY14" s="91">
        <v>30</v>
      </c>
      <c r="EZ14" s="114">
        <v>0.09</v>
      </c>
    </row>
    <row r="15" spans="1:156" x14ac:dyDescent="0.25">
      <c r="A15" s="18" t="s">
        <v>262</v>
      </c>
      <c r="B15" s="91">
        <v>1</v>
      </c>
      <c r="C15" s="90">
        <v>7396.71</v>
      </c>
      <c r="D15" s="90">
        <v>72.47</v>
      </c>
      <c r="E15" s="90">
        <v>3.7</v>
      </c>
      <c r="F15" s="35">
        <v>0.35799999999999998</v>
      </c>
      <c r="G15" s="91">
        <v>1</v>
      </c>
      <c r="H15" s="90">
        <v>8678</v>
      </c>
      <c r="I15" s="90">
        <v>156</v>
      </c>
      <c r="J15" s="17"/>
      <c r="K15" s="35">
        <v>0.23330000000000001</v>
      </c>
      <c r="L15" s="91">
        <v>1</v>
      </c>
      <c r="M15" s="90">
        <v>314311.09999999998</v>
      </c>
      <c r="N15" s="90">
        <v>1026.94</v>
      </c>
      <c r="O15" s="34"/>
      <c r="P15" s="35">
        <v>0.44869999999999999</v>
      </c>
      <c r="Q15" s="91">
        <v>1</v>
      </c>
      <c r="R15" s="90">
        <v>143448.09</v>
      </c>
      <c r="S15" s="90">
        <v>9269.94</v>
      </c>
      <c r="T15" s="90">
        <v>15977.7</v>
      </c>
      <c r="U15" s="34">
        <v>0.28000000000000003</v>
      </c>
      <c r="V15" s="91">
        <v>1</v>
      </c>
      <c r="W15" s="91">
        <v>73260</v>
      </c>
      <c r="X15" s="91">
        <v>415</v>
      </c>
      <c r="Y15" s="91">
        <v>6</v>
      </c>
      <c r="Z15" s="35">
        <v>0.85780000000000001</v>
      </c>
      <c r="AA15" s="91">
        <v>1</v>
      </c>
      <c r="AB15" s="91">
        <v>33511</v>
      </c>
      <c r="AC15" s="91">
        <v>878</v>
      </c>
      <c r="AD15" s="91">
        <v>265</v>
      </c>
      <c r="AE15" s="35">
        <v>0.27039999999999997</v>
      </c>
      <c r="AF15" s="91">
        <v>1</v>
      </c>
      <c r="AG15" s="91">
        <v>9317</v>
      </c>
      <c r="AH15" s="91">
        <v>-617</v>
      </c>
      <c r="AI15" s="17"/>
      <c r="AJ15" s="35">
        <v>0.43</v>
      </c>
      <c r="AK15" s="91">
        <v>1</v>
      </c>
      <c r="AL15" s="90">
        <v>4386.75</v>
      </c>
      <c r="AM15" s="90">
        <v>470.84</v>
      </c>
      <c r="AN15" s="77"/>
      <c r="AO15" s="114">
        <v>0.43</v>
      </c>
      <c r="AP15" s="91">
        <v>1</v>
      </c>
      <c r="AQ15" s="91">
        <v>69331</v>
      </c>
      <c r="AR15" s="91">
        <v>4391</v>
      </c>
      <c r="AS15" s="91">
        <v>135</v>
      </c>
      <c r="AT15" s="35">
        <v>0.47160000000000002</v>
      </c>
      <c r="AU15" s="91">
        <v>1</v>
      </c>
      <c r="AV15" s="91">
        <v>26596</v>
      </c>
      <c r="AW15" s="91">
        <v>1159</v>
      </c>
      <c r="AX15" s="91">
        <v>290</v>
      </c>
      <c r="AY15" s="35">
        <v>0.25790000000000002</v>
      </c>
      <c r="AZ15" s="91">
        <v>1</v>
      </c>
      <c r="BA15" s="91">
        <v>157803</v>
      </c>
      <c r="BB15" s="91">
        <v>6203</v>
      </c>
      <c r="BC15" s="91">
        <v>5672</v>
      </c>
      <c r="BD15" s="35">
        <v>0.2571</v>
      </c>
      <c r="BE15" s="91">
        <v>1</v>
      </c>
      <c r="BF15" s="91">
        <v>217587</v>
      </c>
      <c r="BG15" s="91">
        <v>17767</v>
      </c>
      <c r="BH15" s="91">
        <v>9659</v>
      </c>
      <c r="BI15" s="114">
        <v>0.48</v>
      </c>
      <c r="BJ15" s="9"/>
      <c r="BK15" s="90">
        <v>109655.54</v>
      </c>
      <c r="BL15" s="90">
        <v>7975.35</v>
      </c>
      <c r="BM15" s="90">
        <v>12167.44</v>
      </c>
      <c r="BN15" s="114">
        <v>0.48</v>
      </c>
      <c r="BO15" s="91">
        <v>1</v>
      </c>
      <c r="BP15" s="91">
        <v>8264</v>
      </c>
      <c r="BQ15" s="91">
        <v>527</v>
      </c>
      <c r="BR15" s="91"/>
      <c r="BS15" s="35">
        <v>0.50800000000000001</v>
      </c>
      <c r="BT15" s="91">
        <v>1</v>
      </c>
      <c r="BU15" s="90">
        <v>14398.13</v>
      </c>
      <c r="BV15" s="90">
        <v>1417.83</v>
      </c>
      <c r="BW15" s="90">
        <v>0.01</v>
      </c>
      <c r="BX15" s="35">
        <v>0.69879999999999998</v>
      </c>
      <c r="BY15" s="91">
        <v>1</v>
      </c>
      <c r="BZ15" s="91">
        <v>27801</v>
      </c>
      <c r="CA15" s="91">
        <v>519</v>
      </c>
      <c r="CB15" s="91">
        <v>5</v>
      </c>
      <c r="CC15" s="114">
        <v>0.41</v>
      </c>
      <c r="CD15" s="91">
        <v>1</v>
      </c>
      <c r="CE15" s="90">
        <v>4930.47</v>
      </c>
      <c r="CF15" s="90">
        <v>47.19</v>
      </c>
      <c r="CG15" s="17"/>
      <c r="CH15" s="114">
        <v>0.9577</v>
      </c>
      <c r="CI15" s="91">
        <v>1</v>
      </c>
      <c r="CJ15" s="91">
        <v>21798</v>
      </c>
      <c r="CK15" s="91">
        <v>46</v>
      </c>
      <c r="CL15" s="17"/>
      <c r="CM15" s="114">
        <v>0.33</v>
      </c>
      <c r="CN15" s="91">
        <v>1</v>
      </c>
      <c r="CO15" s="91">
        <v>4925</v>
      </c>
      <c r="CP15" s="91">
        <v>5586</v>
      </c>
      <c r="CQ15" s="91">
        <v>1014</v>
      </c>
      <c r="CR15" s="35">
        <v>7.3300000000000004E-2</v>
      </c>
      <c r="CS15" s="91">
        <v>1</v>
      </c>
      <c r="CT15" s="91">
        <v>743</v>
      </c>
      <c r="CU15" s="91">
        <v>241</v>
      </c>
      <c r="CV15" s="17"/>
      <c r="CW15" s="35">
        <v>0.73089999999999999</v>
      </c>
      <c r="CX15" s="91">
        <v>1</v>
      </c>
      <c r="CY15" s="91">
        <v>4364</v>
      </c>
      <c r="CZ15" s="91">
        <v>1992</v>
      </c>
      <c r="DA15" s="91">
        <v>53</v>
      </c>
      <c r="DB15" s="35">
        <v>0.95650000000000002</v>
      </c>
      <c r="DC15" s="9">
        <v>2</v>
      </c>
      <c r="DD15" s="91">
        <v>233606</v>
      </c>
      <c r="DE15" s="91">
        <v>11256</v>
      </c>
      <c r="DF15" s="91">
        <v>4963</v>
      </c>
      <c r="DG15" s="35">
        <v>0.62070000000000003</v>
      </c>
      <c r="DH15" s="91">
        <v>1</v>
      </c>
      <c r="DI15" s="90">
        <v>26153.86</v>
      </c>
      <c r="DJ15" s="90">
        <v>638.04</v>
      </c>
      <c r="DK15" s="90">
        <v>438.75</v>
      </c>
      <c r="DL15" s="35">
        <v>0.35189999999999999</v>
      </c>
      <c r="DM15" s="60">
        <v>1</v>
      </c>
      <c r="DN15" s="36">
        <v>245674.92</v>
      </c>
      <c r="DO15" s="36">
        <v>8425.44</v>
      </c>
      <c r="DP15" s="36">
        <v>1191.6500000000001</v>
      </c>
      <c r="DQ15" s="35">
        <v>0.52539999999999998</v>
      </c>
      <c r="DR15" s="91">
        <v>1</v>
      </c>
      <c r="DS15" s="90">
        <v>11060.52</v>
      </c>
      <c r="DT15" s="90">
        <v>995.54</v>
      </c>
      <c r="DU15" s="90">
        <v>9.19</v>
      </c>
      <c r="DV15" s="35">
        <v>0.79249999999999998</v>
      </c>
      <c r="DW15" s="91">
        <v>1</v>
      </c>
      <c r="DX15" s="91">
        <v>57317</v>
      </c>
      <c r="DY15" s="91">
        <v>4094</v>
      </c>
      <c r="DZ15" s="17"/>
      <c r="EA15" s="114">
        <v>0.94</v>
      </c>
      <c r="EB15" s="91">
        <v>1</v>
      </c>
      <c r="EC15" s="91">
        <v>82913</v>
      </c>
      <c r="ED15" s="91">
        <v>1904</v>
      </c>
      <c r="EE15" s="91">
        <v>6414</v>
      </c>
      <c r="EF15" s="114">
        <v>0.28999999999999998</v>
      </c>
      <c r="EG15" s="91">
        <v>1</v>
      </c>
      <c r="EH15" s="90">
        <v>250080.07</v>
      </c>
      <c r="EI15" s="90">
        <v>28794.14</v>
      </c>
      <c r="EJ15" s="90">
        <v>42231.82</v>
      </c>
      <c r="EK15" s="35">
        <v>0.51449999999999996</v>
      </c>
      <c r="EL15" s="17"/>
      <c r="EM15" s="91">
        <f>111313.81+1527.75</f>
        <v>112841.56</v>
      </c>
      <c r="EN15" s="91">
        <f>11825.17+572.2</f>
        <v>12397.37</v>
      </c>
      <c r="EO15" s="91"/>
      <c r="EP15" s="35">
        <v>0.60980000000000001</v>
      </c>
      <c r="EQ15" s="9"/>
      <c r="ER15" s="17"/>
      <c r="ES15" s="17"/>
      <c r="ET15" s="17"/>
      <c r="EU15" s="35"/>
      <c r="EV15" s="91">
        <v>1</v>
      </c>
      <c r="EW15" s="91">
        <v>70850</v>
      </c>
      <c r="EX15" s="91">
        <v>3208</v>
      </c>
      <c r="EY15" s="91">
        <v>380</v>
      </c>
      <c r="EZ15" s="114">
        <v>0.4</v>
      </c>
    </row>
    <row r="16" spans="1:156" x14ac:dyDescent="0.25">
      <c r="A16" s="17" t="s">
        <v>31</v>
      </c>
      <c r="B16" s="9"/>
      <c r="C16" s="17"/>
      <c r="D16" s="17"/>
      <c r="E16" s="17"/>
      <c r="F16" s="35"/>
      <c r="G16" s="9"/>
      <c r="H16" s="17"/>
      <c r="I16" s="17"/>
      <c r="J16" s="17"/>
      <c r="K16" s="35"/>
      <c r="L16" s="9"/>
      <c r="M16" s="17"/>
      <c r="N16" s="17"/>
      <c r="O16" s="34"/>
      <c r="P16" s="17"/>
      <c r="Q16" s="9"/>
      <c r="R16" s="17"/>
      <c r="S16" s="17"/>
      <c r="T16" s="17"/>
      <c r="U16" s="35"/>
      <c r="V16" s="9">
        <v>1</v>
      </c>
      <c r="W16" s="17"/>
      <c r="X16" s="17"/>
      <c r="Y16" s="90">
        <v>12058</v>
      </c>
      <c r="Z16" s="35">
        <v>0.1404</v>
      </c>
      <c r="AA16" s="9"/>
      <c r="AB16" s="17"/>
      <c r="AC16" s="17"/>
      <c r="AD16" s="17"/>
      <c r="AE16" s="35"/>
      <c r="AF16" s="9"/>
      <c r="AG16" s="17"/>
      <c r="AH16" s="17"/>
      <c r="AI16" s="17"/>
      <c r="AJ16" s="35"/>
      <c r="AK16" s="9"/>
      <c r="AL16" s="17"/>
      <c r="AM16" s="17"/>
      <c r="AN16" s="17"/>
      <c r="AO16" s="35"/>
      <c r="AP16" s="9"/>
      <c r="AQ16" s="17"/>
      <c r="AR16" s="17"/>
      <c r="AS16" s="17"/>
      <c r="AT16" s="35"/>
      <c r="AU16" s="9"/>
      <c r="AV16" s="91"/>
      <c r="AW16" s="91"/>
      <c r="AX16" s="91"/>
      <c r="AY16" s="35"/>
      <c r="AZ16" s="9"/>
      <c r="BA16" s="17"/>
      <c r="BB16" s="17"/>
      <c r="BC16" s="17"/>
      <c r="BD16" s="35"/>
      <c r="BE16" s="9"/>
      <c r="BF16" s="17"/>
      <c r="BG16" s="17"/>
      <c r="BH16" s="17"/>
      <c r="BI16" s="35"/>
      <c r="BJ16" s="9"/>
      <c r="BK16" s="17"/>
      <c r="BL16" s="17"/>
      <c r="BM16" s="17"/>
      <c r="BN16" s="35"/>
      <c r="BO16" s="9"/>
      <c r="BP16" s="17"/>
      <c r="BQ16" s="17"/>
      <c r="BR16" s="17"/>
      <c r="BS16" s="35"/>
      <c r="BT16" s="9"/>
      <c r="BU16" s="17"/>
      <c r="BV16" s="17"/>
      <c r="BW16" s="17"/>
      <c r="BX16" s="35"/>
      <c r="BY16" s="9"/>
      <c r="BZ16" s="17"/>
      <c r="CA16" s="17"/>
      <c r="CB16" s="17"/>
      <c r="CC16" s="35"/>
      <c r="CD16" s="9"/>
      <c r="CE16" s="17"/>
      <c r="CF16" s="17"/>
      <c r="CG16" s="17"/>
      <c r="CH16" s="35"/>
      <c r="CI16" s="9"/>
      <c r="CJ16" s="17"/>
      <c r="CK16" s="17"/>
      <c r="CL16" s="17"/>
      <c r="CM16" s="35"/>
      <c r="CN16" s="9"/>
      <c r="CO16" s="17"/>
      <c r="CP16" s="17"/>
      <c r="CQ16" s="17"/>
      <c r="CR16" s="35"/>
      <c r="CS16" s="9"/>
      <c r="CT16" s="17"/>
      <c r="CU16" s="17"/>
      <c r="CV16" s="17"/>
      <c r="CW16" s="35"/>
      <c r="CX16" s="9"/>
      <c r="CY16" s="17"/>
      <c r="CZ16" s="17"/>
      <c r="DA16" s="17"/>
      <c r="DB16" s="35"/>
      <c r="DC16" s="9"/>
      <c r="DD16" s="138"/>
      <c r="DE16" s="138"/>
      <c r="DF16" s="138"/>
      <c r="DG16" s="35"/>
      <c r="DH16" s="9"/>
      <c r="DI16" s="17"/>
      <c r="DJ16" s="17"/>
      <c r="DK16" s="17"/>
      <c r="DL16" s="35"/>
      <c r="DM16" s="60"/>
      <c r="DN16" s="36"/>
      <c r="DO16" s="36"/>
      <c r="DP16" s="36"/>
      <c r="DQ16" s="35"/>
      <c r="DR16" s="9"/>
      <c r="DS16" s="90"/>
      <c r="DT16" s="17"/>
      <c r="DU16" s="17"/>
      <c r="DV16" s="17"/>
      <c r="DW16" s="9"/>
      <c r="DX16" s="17"/>
      <c r="DY16" s="17"/>
      <c r="DZ16" s="17"/>
      <c r="EA16" s="35"/>
      <c r="EB16" s="91"/>
      <c r="EC16" s="90"/>
      <c r="ED16" s="90"/>
      <c r="EE16" s="90"/>
      <c r="EF16" s="35"/>
      <c r="EG16" s="91">
        <v>2</v>
      </c>
      <c r="EH16" s="90">
        <v>26208.83</v>
      </c>
      <c r="EI16" s="17"/>
      <c r="EJ16" s="17"/>
      <c r="EK16" s="35">
        <v>4.2000000000000003E-2</v>
      </c>
      <c r="EL16" s="17"/>
      <c r="EM16" s="91">
        <f>12612.61+1335.27</f>
        <v>13947.880000000001</v>
      </c>
      <c r="EN16" s="90">
        <v>78.599999999999994</v>
      </c>
      <c r="EO16" s="90">
        <f>13314.34+0.5</f>
        <v>13314.84</v>
      </c>
      <c r="EP16" s="35">
        <v>6.1699999999999998E-2</v>
      </c>
      <c r="EQ16" s="9"/>
      <c r="ER16" s="17"/>
      <c r="ES16" s="17"/>
      <c r="ET16" s="17"/>
      <c r="EU16" s="35"/>
      <c r="EV16" s="9"/>
      <c r="EW16" s="17"/>
      <c r="EX16" s="17"/>
      <c r="EY16" s="17"/>
      <c r="EZ16" s="35"/>
    </row>
    <row r="17" spans="1:156" s="40" customFormat="1" x14ac:dyDescent="0.25">
      <c r="A17" s="19" t="s">
        <v>263</v>
      </c>
      <c r="B17" s="112">
        <f t="shared" ref="B17:BM17" si="4">B13+B14+B15+B16</f>
        <v>2</v>
      </c>
      <c r="C17" s="82">
        <f t="shared" si="4"/>
        <v>11492.66</v>
      </c>
      <c r="D17" s="82">
        <f t="shared" si="4"/>
        <v>144.94</v>
      </c>
      <c r="E17" s="82">
        <f t="shared" si="4"/>
        <v>3.7</v>
      </c>
      <c r="F17" s="62">
        <f t="shared" si="4"/>
        <v>1</v>
      </c>
      <c r="G17" s="112">
        <f t="shared" si="4"/>
        <v>3</v>
      </c>
      <c r="H17" s="112">
        <f t="shared" si="4"/>
        <v>37449</v>
      </c>
      <c r="I17" s="112">
        <f t="shared" si="4"/>
        <v>156</v>
      </c>
      <c r="J17" s="112">
        <f t="shared" si="4"/>
        <v>0</v>
      </c>
      <c r="K17" s="37">
        <f t="shared" si="4"/>
        <v>0.99320000000000008</v>
      </c>
      <c r="L17" s="112">
        <f t="shared" si="4"/>
        <v>7</v>
      </c>
      <c r="M17" s="112">
        <f t="shared" si="4"/>
        <v>395804.17</v>
      </c>
      <c r="N17" s="112">
        <f t="shared" si="4"/>
        <v>7465.7100000000009</v>
      </c>
      <c r="O17" s="112">
        <f t="shared" si="4"/>
        <v>51874.22</v>
      </c>
      <c r="P17" s="37">
        <f t="shared" si="4"/>
        <v>0.64759999999999995</v>
      </c>
      <c r="Q17" s="112">
        <f t="shared" si="4"/>
        <v>30</v>
      </c>
      <c r="R17" s="82">
        <f t="shared" si="4"/>
        <v>285974.03000000003</v>
      </c>
      <c r="S17" s="82">
        <f t="shared" si="4"/>
        <v>14466.48</v>
      </c>
      <c r="T17" s="82">
        <f t="shared" si="4"/>
        <v>57651.319999999992</v>
      </c>
      <c r="U17" s="37">
        <f t="shared" si="4"/>
        <v>0.59440000000000004</v>
      </c>
      <c r="V17" s="112">
        <f t="shared" si="4"/>
        <v>3</v>
      </c>
      <c r="W17" s="112">
        <f t="shared" si="4"/>
        <v>73421</v>
      </c>
      <c r="X17" s="112">
        <f t="shared" si="4"/>
        <v>415</v>
      </c>
      <c r="Y17" s="112">
        <f t="shared" si="4"/>
        <v>12064</v>
      </c>
      <c r="Z17" s="62">
        <f t="shared" si="4"/>
        <v>1.0001</v>
      </c>
      <c r="AA17" s="112">
        <f t="shared" si="4"/>
        <v>23</v>
      </c>
      <c r="AB17" s="112">
        <f t="shared" si="4"/>
        <v>99199</v>
      </c>
      <c r="AC17" s="112">
        <f t="shared" si="4"/>
        <v>2306</v>
      </c>
      <c r="AD17" s="112">
        <f t="shared" si="4"/>
        <v>3719</v>
      </c>
      <c r="AE17" s="62">
        <f t="shared" si="4"/>
        <v>0.82109999999999994</v>
      </c>
      <c r="AF17" s="112">
        <f t="shared" si="4"/>
        <v>7</v>
      </c>
      <c r="AG17" s="112">
        <f t="shared" si="4"/>
        <v>17521</v>
      </c>
      <c r="AH17" s="112">
        <f t="shared" si="4"/>
        <v>690</v>
      </c>
      <c r="AI17" s="112">
        <f t="shared" si="4"/>
        <v>0</v>
      </c>
      <c r="AJ17" s="62">
        <f t="shared" si="4"/>
        <v>0.89</v>
      </c>
      <c r="AK17" s="112">
        <f t="shared" si="4"/>
        <v>8</v>
      </c>
      <c r="AL17" s="112">
        <f t="shared" si="4"/>
        <v>10434.86</v>
      </c>
      <c r="AM17" s="112">
        <f t="shared" si="4"/>
        <v>470.84</v>
      </c>
      <c r="AN17" s="112">
        <f t="shared" si="4"/>
        <v>130.80000000000001</v>
      </c>
      <c r="AO17" s="62">
        <f t="shared" si="4"/>
        <v>0.98</v>
      </c>
      <c r="AP17" s="112">
        <f t="shared" si="4"/>
        <v>24</v>
      </c>
      <c r="AQ17" s="112">
        <f t="shared" si="4"/>
        <v>100560</v>
      </c>
      <c r="AR17" s="112">
        <f t="shared" si="4"/>
        <v>9000</v>
      </c>
      <c r="AS17" s="112">
        <f t="shared" si="4"/>
        <v>2200</v>
      </c>
      <c r="AT17" s="37">
        <f t="shared" si="4"/>
        <v>0.7137</v>
      </c>
      <c r="AU17" s="112">
        <f t="shared" si="4"/>
        <v>13</v>
      </c>
      <c r="AV17" s="112">
        <f t="shared" si="4"/>
        <v>31469</v>
      </c>
      <c r="AW17" s="112">
        <f t="shared" si="4"/>
        <v>1272</v>
      </c>
      <c r="AX17" s="112">
        <f t="shared" si="4"/>
        <v>1714</v>
      </c>
      <c r="AY17" s="37">
        <f t="shared" si="4"/>
        <v>0.31690000000000002</v>
      </c>
      <c r="AZ17" s="112">
        <f t="shared" si="4"/>
        <v>27</v>
      </c>
      <c r="BA17" s="112">
        <f t="shared" si="4"/>
        <v>534221</v>
      </c>
      <c r="BB17" s="112">
        <f t="shared" si="4"/>
        <v>13780</v>
      </c>
      <c r="BC17" s="112">
        <f t="shared" si="4"/>
        <v>50606</v>
      </c>
      <c r="BD17" s="37">
        <f t="shared" si="4"/>
        <v>0.90700000000000003</v>
      </c>
      <c r="BE17" s="112">
        <f t="shared" si="4"/>
        <v>31</v>
      </c>
      <c r="BF17" s="112">
        <f t="shared" si="4"/>
        <v>314215</v>
      </c>
      <c r="BG17" s="112">
        <f t="shared" si="4"/>
        <v>24101</v>
      </c>
      <c r="BH17" s="112">
        <f t="shared" si="4"/>
        <v>50984</v>
      </c>
      <c r="BI17" s="62">
        <f t="shared" si="4"/>
        <v>0.77</v>
      </c>
      <c r="BJ17" s="112">
        <f t="shared" si="4"/>
        <v>20</v>
      </c>
      <c r="BK17" s="112">
        <f t="shared" si="4"/>
        <v>141186.69</v>
      </c>
      <c r="BL17" s="112">
        <f t="shared" si="4"/>
        <v>10245.380000000001</v>
      </c>
      <c r="BM17" s="112">
        <f t="shared" si="4"/>
        <v>19649.490000000002</v>
      </c>
      <c r="BN17" s="62">
        <f t="shared" ref="BN17:DY17" si="5">BN13+BN14+BN15+BN16</f>
        <v>0.63</v>
      </c>
      <c r="BO17" s="112">
        <f t="shared" si="5"/>
        <v>11</v>
      </c>
      <c r="BP17" s="112">
        <f t="shared" si="5"/>
        <v>16311</v>
      </c>
      <c r="BQ17" s="112">
        <f t="shared" si="5"/>
        <v>763</v>
      </c>
      <c r="BR17" s="112">
        <f t="shared" si="5"/>
        <v>213</v>
      </c>
      <c r="BS17" s="62">
        <f t="shared" si="5"/>
        <v>0.999</v>
      </c>
      <c r="BT17" s="112">
        <f t="shared" si="5"/>
        <v>7</v>
      </c>
      <c r="BU17" s="112">
        <f t="shared" si="5"/>
        <v>16163.06</v>
      </c>
      <c r="BV17" s="112">
        <f t="shared" si="5"/>
        <v>2324.02</v>
      </c>
      <c r="BW17" s="112">
        <f t="shared" si="5"/>
        <v>103.29</v>
      </c>
      <c r="BX17" s="37">
        <f t="shared" si="5"/>
        <v>0.82140000000000002</v>
      </c>
      <c r="BY17" s="112">
        <f t="shared" si="5"/>
        <v>8</v>
      </c>
      <c r="BZ17" s="112">
        <f t="shared" si="5"/>
        <v>50948</v>
      </c>
      <c r="CA17" s="112">
        <f t="shared" si="5"/>
        <v>691</v>
      </c>
      <c r="CB17" s="112">
        <f t="shared" si="5"/>
        <v>488</v>
      </c>
      <c r="CC17" s="62">
        <f t="shared" si="5"/>
        <v>0.75</v>
      </c>
      <c r="CD17" s="112">
        <f t="shared" si="5"/>
        <v>2</v>
      </c>
      <c r="CE17" s="82">
        <f t="shared" si="5"/>
        <v>5056.0700000000006</v>
      </c>
      <c r="CF17" s="82">
        <f t="shared" si="5"/>
        <v>133.80000000000001</v>
      </c>
      <c r="CG17" s="82">
        <f t="shared" si="5"/>
        <v>7.71</v>
      </c>
      <c r="CH17" s="62">
        <f t="shared" si="5"/>
        <v>1</v>
      </c>
      <c r="CI17" s="112">
        <f t="shared" si="5"/>
        <v>5</v>
      </c>
      <c r="CJ17" s="112">
        <f t="shared" si="5"/>
        <v>65142</v>
      </c>
      <c r="CK17" s="112">
        <f t="shared" si="5"/>
        <v>92</v>
      </c>
      <c r="CL17" s="112">
        <f t="shared" si="5"/>
        <v>0</v>
      </c>
      <c r="CM17" s="62">
        <f t="shared" si="5"/>
        <v>1</v>
      </c>
      <c r="CN17" s="112">
        <f t="shared" si="5"/>
        <v>32</v>
      </c>
      <c r="CO17" s="112">
        <f t="shared" si="5"/>
        <v>72776</v>
      </c>
      <c r="CP17" s="112">
        <f t="shared" si="5"/>
        <v>11757</v>
      </c>
      <c r="CQ17" s="112">
        <f t="shared" si="5"/>
        <v>54433</v>
      </c>
      <c r="CR17" s="37">
        <f t="shared" si="5"/>
        <v>0.88340000000000007</v>
      </c>
      <c r="CS17" s="112">
        <f t="shared" si="5"/>
        <v>4</v>
      </c>
      <c r="CT17" s="112">
        <f t="shared" si="5"/>
        <v>726</v>
      </c>
      <c r="CU17" s="112">
        <f t="shared" si="5"/>
        <v>241</v>
      </c>
      <c r="CV17" s="112">
        <f t="shared" si="5"/>
        <v>0</v>
      </c>
      <c r="CW17" s="62">
        <f t="shared" si="5"/>
        <v>0.71809999999999996</v>
      </c>
      <c r="CX17" s="112">
        <f t="shared" si="5"/>
        <v>2</v>
      </c>
      <c r="CY17" s="82">
        <f t="shared" si="5"/>
        <v>4364</v>
      </c>
      <c r="CZ17" s="82">
        <f t="shared" si="5"/>
        <v>1992</v>
      </c>
      <c r="DA17" s="82">
        <f t="shared" si="5"/>
        <v>61</v>
      </c>
      <c r="DB17" s="37">
        <f t="shared" si="5"/>
        <v>0.9577</v>
      </c>
      <c r="DC17" s="112">
        <f t="shared" si="5"/>
        <v>32</v>
      </c>
      <c r="DD17" s="112">
        <f t="shared" si="5"/>
        <v>272911</v>
      </c>
      <c r="DE17" s="112">
        <f t="shared" si="5"/>
        <v>12472</v>
      </c>
      <c r="DF17" s="112">
        <f t="shared" si="5"/>
        <v>17026</v>
      </c>
      <c r="DG17" s="37">
        <f t="shared" si="5"/>
        <v>0.75140000000000007</v>
      </c>
      <c r="DH17" s="112">
        <f t="shared" si="5"/>
        <v>13</v>
      </c>
      <c r="DI17" s="82">
        <f t="shared" si="5"/>
        <v>57377.240000000005</v>
      </c>
      <c r="DJ17" s="82">
        <f t="shared" si="5"/>
        <v>1487.9</v>
      </c>
      <c r="DK17" s="82">
        <f t="shared" si="5"/>
        <v>936.49</v>
      </c>
      <c r="DL17" s="37">
        <f t="shared" si="5"/>
        <v>0.77279999999999993</v>
      </c>
      <c r="DM17" s="112">
        <f t="shared" si="5"/>
        <v>28</v>
      </c>
      <c r="DN17" s="82">
        <f t="shared" si="5"/>
        <v>297276.36</v>
      </c>
      <c r="DO17" s="82">
        <f t="shared" si="5"/>
        <v>12224.23</v>
      </c>
      <c r="DP17" s="82">
        <f t="shared" si="5"/>
        <v>41477.509999999995</v>
      </c>
      <c r="DQ17" s="37">
        <f t="shared" si="5"/>
        <v>0.72229999999999994</v>
      </c>
      <c r="DR17" s="112">
        <f t="shared" si="5"/>
        <v>8</v>
      </c>
      <c r="DS17" s="82">
        <f t="shared" si="5"/>
        <v>11102.95</v>
      </c>
      <c r="DT17" s="82">
        <f t="shared" si="5"/>
        <v>1019.93</v>
      </c>
      <c r="DU17" s="82">
        <f t="shared" si="5"/>
        <v>76.45</v>
      </c>
      <c r="DV17" s="37">
        <f t="shared" si="5"/>
        <v>0.80130000000000001</v>
      </c>
      <c r="DW17" s="112">
        <f t="shared" si="5"/>
        <v>4</v>
      </c>
      <c r="DX17" s="112">
        <f t="shared" si="5"/>
        <v>57317</v>
      </c>
      <c r="DY17" s="112">
        <f t="shared" si="5"/>
        <v>8081</v>
      </c>
      <c r="DZ17" s="112">
        <f t="shared" ref="DZ17:EY17" si="6">DZ13+DZ14+DZ15+DZ16</f>
        <v>0</v>
      </c>
      <c r="EA17" s="62">
        <f t="shared" si="6"/>
        <v>1</v>
      </c>
      <c r="EB17" s="112">
        <f t="shared" si="6"/>
        <v>20</v>
      </c>
      <c r="EC17" s="112">
        <f t="shared" si="6"/>
        <v>175135</v>
      </c>
      <c r="ED17" s="112">
        <f t="shared" si="6"/>
        <v>7876</v>
      </c>
      <c r="EE17" s="112">
        <f t="shared" si="6"/>
        <v>18003</v>
      </c>
      <c r="EF17" s="62">
        <f t="shared" si="6"/>
        <v>0.64</v>
      </c>
      <c r="EG17" s="112">
        <f t="shared" si="6"/>
        <v>27</v>
      </c>
      <c r="EH17" s="112">
        <f t="shared" si="6"/>
        <v>280591.35999999999</v>
      </c>
      <c r="EI17" s="112">
        <f t="shared" si="6"/>
        <v>35976.51</v>
      </c>
      <c r="EJ17" s="112">
        <f t="shared" si="6"/>
        <v>143777.46</v>
      </c>
      <c r="EK17" s="37">
        <f t="shared" si="6"/>
        <v>0.73770000000000002</v>
      </c>
      <c r="EL17" s="112">
        <f t="shared" si="6"/>
        <v>0</v>
      </c>
      <c r="EM17" s="112">
        <f t="shared" si="6"/>
        <v>128112.22</v>
      </c>
      <c r="EN17" s="112">
        <f t="shared" si="6"/>
        <v>14993.300000000001</v>
      </c>
      <c r="EO17" s="112">
        <f t="shared" si="6"/>
        <v>40455.770000000004</v>
      </c>
      <c r="EP17" s="37">
        <f t="shared" si="6"/>
        <v>0.80779999999999996</v>
      </c>
      <c r="EQ17" s="112">
        <f t="shared" si="6"/>
        <v>28</v>
      </c>
      <c r="ER17" s="112">
        <f t="shared" si="6"/>
        <v>117666</v>
      </c>
      <c r="ES17" s="112">
        <f t="shared" si="6"/>
        <v>24620</v>
      </c>
      <c r="ET17" s="112">
        <f t="shared" si="6"/>
        <v>47817</v>
      </c>
      <c r="EU17" s="62">
        <f t="shared" si="6"/>
        <v>0.72760000000000002</v>
      </c>
      <c r="EV17" s="112">
        <f t="shared" si="6"/>
        <v>16</v>
      </c>
      <c r="EW17" s="112">
        <f t="shared" si="6"/>
        <v>88256</v>
      </c>
      <c r="EX17" s="112">
        <f t="shared" si="6"/>
        <v>3208</v>
      </c>
      <c r="EY17" s="112">
        <f t="shared" si="6"/>
        <v>25318</v>
      </c>
      <c r="EZ17" s="62">
        <f>EZ13+EZ14+EZ15+EZ16</f>
        <v>0.62</v>
      </c>
    </row>
    <row r="18" spans="1:156" s="40" customFormat="1" x14ac:dyDescent="0.25">
      <c r="A18" s="19" t="s">
        <v>264</v>
      </c>
      <c r="B18" s="31">
        <f>B11+B17</f>
        <v>3</v>
      </c>
      <c r="C18" s="19">
        <f t="shared" ref="C18:BN18" si="7">C11+C17</f>
        <v>11492.66</v>
      </c>
      <c r="D18" s="19">
        <f t="shared" si="7"/>
        <v>144.94</v>
      </c>
      <c r="E18" s="19">
        <f t="shared" si="7"/>
        <v>3.7</v>
      </c>
      <c r="F18" s="62">
        <f t="shared" si="7"/>
        <v>1</v>
      </c>
      <c r="G18" s="31">
        <f t="shared" si="7"/>
        <v>3</v>
      </c>
      <c r="H18" s="31">
        <f t="shared" si="7"/>
        <v>37449</v>
      </c>
      <c r="I18" s="31">
        <f t="shared" si="7"/>
        <v>412</v>
      </c>
      <c r="J18" s="31">
        <f t="shared" si="7"/>
        <v>0</v>
      </c>
      <c r="K18" s="37">
        <f t="shared" si="7"/>
        <v>0.99990000000000012</v>
      </c>
      <c r="L18" s="31">
        <f t="shared" si="7"/>
        <v>86</v>
      </c>
      <c r="M18" s="31">
        <f t="shared" si="7"/>
        <v>517528.66</v>
      </c>
      <c r="N18" s="31">
        <f t="shared" si="7"/>
        <v>23524.739999999998</v>
      </c>
      <c r="O18" s="31">
        <f t="shared" si="7"/>
        <v>161688.81</v>
      </c>
      <c r="P18" s="37">
        <f t="shared" si="7"/>
        <v>0.99990000000000001</v>
      </c>
      <c r="Q18" s="31">
        <f t="shared" si="7"/>
        <v>228</v>
      </c>
      <c r="R18" s="19">
        <f t="shared" si="7"/>
        <v>422327.46</v>
      </c>
      <c r="S18" s="19">
        <f t="shared" si="7"/>
        <v>18372.759999999998</v>
      </c>
      <c r="T18" s="19">
        <f t="shared" si="7"/>
        <v>161824.06</v>
      </c>
      <c r="U18" s="113">
        <f t="shared" si="7"/>
        <v>1.0001</v>
      </c>
      <c r="V18" s="31">
        <f t="shared" si="7"/>
        <v>3</v>
      </c>
      <c r="W18" s="31">
        <f t="shared" si="7"/>
        <v>73421</v>
      </c>
      <c r="X18" s="31">
        <f t="shared" si="7"/>
        <v>415</v>
      </c>
      <c r="Y18" s="31">
        <f t="shared" si="7"/>
        <v>12064</v>
      </c>
      <c r="Z18" s="62">
        <f t="shared" si="7"/>
        <v>1.0001</v>
      </c>
      <c r="AA18" s="31">
        <f t="shared" si="7"/>
        <v>87</v>
      </c>
      <c r="AB18" s="31">
        <f t="shared" si="7"/>
        <v>112641</v>
      </c>
      <c r="AC18" s="31">
        <f t="shared" si="7"/>
        <v>3565</v>
      </c>
      <c r="AD18" s="31">
        <f t="shared" si="7"/>
        <v>11942</v>
      </c>
      <c r="AE18" s="62">
        <f t="shared" si="7"/>
        <v>1.0001</v>
      </c>
      <c r="AF18" s="31">
        <f t="shared" si="7"/>
        <v>11</v>
      </c>
      <c r="AG18" s="31">
        <f t="shared" si="7"/>
        <v>19355</v>
      </c>
      <c r="AH18" s="31">
        <f t="shared" si="7"/>
        <v>1105</v>
      </c>
      <c r="AI18" s="31">
        <f t="shared" si="7"/>
        <v>0</v>
      </c>
      <c r="AJ18" s="62">
        <f t="shared" si="7"/>
        <v>1</v>
      </c>
      <c r="AK18" s="31">
        <f t="shared" si="7"/>
        <v>23</v>
      </c>
      <c r="AL18" s="31">
        <f t="shared" si="7"/>
        <v>10436.370000000001</v>
      </c>
      <c r="AM18" s="31">
        <f t="shared" si="7"/>
        <v>616.28</v>
      </c>
      <c r="AN18" s="31">
        <f t="shared" si="7"/>
        <v>129.10000000000002</v>
      </c>
      <c r="AO18" s="62">
        <f t="shared" si="7"/>
        <v>0.99</v>
      </c>
      <c r="AP18" s="31">
        <f t="shared" si="7"/>
        <v>101</v>
      </c>
      <c r="AQ18" s="31">
        <f t="shared" si="7"/>
        <v>135836</v>
      </c>
      <c r="AR18" s="31">
        <f t="shared" si="7"/>
        <v>12486</v>
      </c>
      <c r="AS18" s="31">
        <f t="shared" si="7"/>
        <v>8272</v>
      </c>
      <c r="AT18" s="37">
        <f t="shared" si="7"/>
        <v>1</v>
      </c>
      <c r="AU18" s="31">
        <f t="shared" si="7"/>
        <v>86</v>
      </c>
      <c r="AV18" s="31">
        <f t="shared" si="7"/>
        <v>97649</v>
      </c>
      <c r="AW18" s="31">
        <f t="shared" si="7"/>
        <v>1866</v>
      </c>
      <c r="AX18" s="31">
        <f t="shared" si="7"/>
        <v>8705</v>
      </c>
      <c r="AY18" s="62">
        <f t="shared" si="7"/>
        <v>0.99519999999999986</v>
      </c>
      <c r="AZ18" s="31">
        <f t="shared" si="7"/>
        <v>170</v>
      </c>
      <c r="BA18" s="31">
        <f t="shared" si="7"/>
        <v>578689</v>
      </c>
      <c r="BB18" s="31">
        <f t="shared" si="7"/>
        <v>16129</v>
      </c>
      <c r="BC18" s="31">
        <f t="shared" si="7"/>
        <v>65209</v>
      </c>
      <c r="BD18" s="62">
        <f t="shared" si="7"/>
        <v>1</v>
      </c>
      <c r="BE18" s="31">
        <f t="shared" si="7"/>
        <v>257</v>
      </c>
      <c r="BF18" s="31">
        <f t="shared" si="7"/>
        <v>391984</v>
      </c>
      <c r="BG18" s="31">
        <f t="shared" si="7"/>
        <v>32021</v>
      </c>
      <c r="BH18" s="31">
        <f t="shared" si="7"/>
        <v>83279</v>
      </c>
      <c r="BI18" s="62">
        <f t="shared" si="7"/>
        <v>1</v>
      </c>
      <c r="BJ18" s="31">
        <f t="shared" si="7"/>
        <v>187</v>
      </c>
      <c r="BK18" s="31">
        <f t="shared" si="7"/>
        <v>226833.39</v>
      </c>
      <c r="BL18" s="31">
        <f t="shared" si="7"/>
        <v>15094.54</v>
      </c>
      <c r="BM18" s="31">
        <f t="shared" si="7"/>
        <v>30184.36</v>
      </c>
      <c r="BN18" s="62">
        <f t="shared" si="7"/>
        <v>1</v>
      </c>
      <c r="BO18" s="31">
        <f t="shared" ref="BO18:DZ18" si="8">BO11+BO17</f>
        <v>12</v>
      </c>
      <c r="BP18" s="31">
        <f t="shared" si="8"/>
        <v>16311</v>
      </c>
      <c r="BQ18" s="31">
        <f t="shared" si="8"/>
        <v>764.63</v>
      </c>
      <c r="BR18" s="31">
        <f t="shared" si="8"/>
        <v>213</v>
      </c>
      <c r="BS18" s="62">
        <f t="shared" si="8"/>
        <v>0.999</v>
      </c>
      <c r="BT18" s="31">
        <f t="shared" si="8"/>
        <v>21</v>
      </c>
      <c r="BU18" s="31">
        <f t="shared" si="8"/>
        <v>19159.02</v>
      </c>
      <c r="BV18" s="31">
        <f t="shared" si="8"/>
        <v>3371.91</v>
      </c>
      <c r="BW18" s="31">
        <f t="shared" si="8"/>
        <v>103.29</v>
      </c>
      <c r="BX18" s="62">
        <f t="shared" si="8"/>
        <v>1.0001</v>
      </c>
      <c r="BY18" s="31">
        <f t="shared" si="8"/>
        <v>57</v>
      </c>
      <c r="BZ18" s="31">
        <f t="shared" si="8"/>
        <v>67792</v>
      </c>
      <c r="CA18" s="31">
        <f t="shared" si="8"/>
        <v>926</v>
      </c>
      <c r="CB18" s="31">
        <f t="shared" si="8"/>
        <v>634</v>
      </c>
      <c r="CC18" s="62">
        <f t="shared" si="8"/>
        <v>1</v>
      </c>
      <c r="CD18" s="31">
        <f t="shared" si="8"/>
        <v>2</v>
      </c>
      <c r="CE18" s="19">
        <f t="shared" si="8"/>
        <v>5056.0700000000006</v>
      </c>
      <c r="CF18" s="19">
        <f t="shared" si="8"/>
        <v>133.80000000000001</v>
      </c>
      <c r="CG18" s="19">
        <f t="shared" si="8"/>
        <v>7.71</v>
      </c>
      <c r="CH18" s="62">
        <f t="shared" si="8"/>
        <v>1</v>
      </c>
      <c r="CI18" s="31">
        <f t="shared" si="8"/>
        <v>5</v>
      </c>
      <c r="CJ18" s="31">
        <f t="shared" si="8"/>
        <v>65142</v>
      </c>
      <c r="CK18" s="31">
        <f t="shared" si="8"/>
        <v>92</v>
      </c>
      <c r="CL18" s="31">
        <f t="shared" si="8"/>
        <v>0</v>
      </c>
      <c r="CM18" s="62">
        <f t="shared" si="8"/>
        <v>1</v>
      </c>
      <c r="CN18" s="31">
        <f t="shared" si="8"/>
        <v>278</v>
      </c>
      <c r="CO18" s="31">
        <f t="shared" si="8"/>
        <v>69799</v>
      </c>
      <c r="CP18" s="31">
        <f t="shared" si="8"/>
        <v>23315</v>
      </c>
      <c r="CQ18" s="31">
        <f t="shared" si="8"/>
        <v>64188</v>
      </c>
      <c r="CR18" s="62">
        <f t="shared" si="8"/>
        <v>1</v>
      </c>
      <c r="CS18" s="31">
        <f t="shared" si="8"/>
        <v>22</v>
      </c>
      <c r="CT18" s="31">
        <f t="shared" si="8"/>
        <v>920</v>
      </c>
      <c r="CU18" s="31">
        <f t="shared" si="8"/>
        <v>426</v>
      </c>
      <c r="CV18" s="31">
        <f t="shared" si="8"/>
        <v>0</v>
      </c>
      <c r="CW18" s="62">
        <f t="shared" si="8"/>
        <v>1</v>
      </c>
      <c r="CX18" s="31">
        <f t="shared" si="8"/>
        <v>4</v>
      </c>
      <c r="CY18" s="19">
        <f t="shared" si="8"/>
        <v>4364</v>
      </c>
      <c r="CZ18" s="19">
        <f t="shared" si="8"/>
        <v>2275</v>
      </c>
      <c r="DA18" s="19">
        <f t="shared" si="8"/>
        <v>61</v>
      </c>
      <c r="DB18" s="62">
        <f t="shared" si="8"/>
        <v>1</v>
      </c>
      <c r="DC18" s="31">
        <f t="shared" si="8"/>
        <v>215</v>
      </c>
      <c r="DD18" s="31">
        <f t="shared" si="8"/>
        <v>352330</v>
      </c>
      <c r="DE18" s="31">
        <f t="shared" si="8"/>
        <v>19029</v>
      </c>
      <c r="DF18" s="31">
        <f t="shared" si="8"/>
        <v>31161</v>
      </c>
      <c r="DG18" s="62">
        <f t="shared" si="8"/>
        <v>1</v>
      </c>
      <c r="DH18" s="31">
        <f t="shared" si="8"/>
        <v>83</v>
      </c>
      <c r="DI18" s="19">
        <f t="shared" si="8"/>
        <v>70060.73000000001</v>
      </c>
      <c r="DJ18" s="19">
        <f t="shared" si="8"/>
        <v>2335.48</v>
      </c>
      <c r="DK18" s="19">
        <f t="shared" si="8"/>
        <v>4979.34</v>
      </c>
      <c r="DL18" s="62">
        <f t="shared" si="8"/>
        <v>1</v>
      </c>
      <c r="DM18" s="31">
        <f t="shared" si="8"/>
        <v>181</v>
      </c>
      <c r="DN18" s="19">
        <f t="shared" si="8"/>
        <v>422911.14999999997</v>
      </c>
      <c r="DO18" s="19">
        <f t="shared" si="8"/>
        <v>17406.39</v>
      </c>
      <c r="DP18" s="19">
        <f t="shared" si="8"/>
        <v>45609.67</v>
      </c>
      <c r="DQ18" s="62">
        <f t="shared" si="8"/>
        <v>1.0001</v>
      </c>
      <c r="DR18" s="31">
        <f t="shared" si="8"/>
        <v>34</v>
      </c>
      <c r="DS18" s="19">
        <f t="shared" si="8"/>
        <v>13067.25</v>
      </c>
      <c r="DT18" s="19">
        <f t="shared" si="8"/>
        <v>2984.23</v>
      </c>
      <c r="DU18" s="19">
        <f t="shared" si="8"/>
        <v>250.12</v>
      </c>
      <c r="DV18" s="62">
        <f t="shared" si="8"/>
        <v>0.99990000000000001</v>
      </c>
      <c r="DW18" s="31">
        <f t="shared" si="8"/>
        <v>4</v>
      </c>
      <c r="DX18" s="31">
        <f t="shared" si="8"/>
        <v>57317</v>
      </c>
      <c r="DY18" s="31">
        <f t="shared" si="8"/>
        <v>8081</v>
      </c>
      <c r="DZ18" s="31">
        <f t="shared" si="8"/>
        <v>0</v>
      </c>
      <c r="EA18" s="62">
        <f t="shared" ref="EA18:EZ18" si="9">EA11+EA17</f>
        <v>1</v>
      </c>
      <c r="EB18" s="31">
        <f t="shared" si="9"/>
        <v>143</v>
      </c>
      <c r="EC18" s="31">
        <f t="shared" si="9"/>
        <v>257164</v>
      </c>
      <c r="ED18" s="31">
        <f t="shared" si="9"/>
        <v>13559</v>
      </c>
      <c r="EE18" s="31">
        <f t="shared" si="9"/>
        <v>46308</v>
      </c>
      <c r="EF18" s="62">
        <f t="shared" si="9"/>
        <v>1.01</v>
      </c>
      <c r="EG18" s="31">
        <f t="shared" si="9"/>
        <v>411</v>
      </c>
      <c r="EH18" s="31">
        <f t="shared" si="9"/>
        <v>339588.86</v>
      </c>
      <c r="EI18" s="31">
        <f t="shared" si="9"/>
        <v>54445.770000000004</v>
      </c>
      <c r="EJ18" s="31">
        <f t="shared" si="9"/>
        <v>230029.49</v>
      </c>
      <c r="EK18" s="37">
        <f t="shared" si="9"/>
        <v>1.0007000000000001</v>
      </c>
      <c r="EL18" s="31">
        <f t="shared" si="9"/>
        <v>0</v>
      </c>
      <c r="EM18" s="31">
        <f t="shared" si="9"/>
        <v>148057.16999999998</v>
      </c>
      <c r="EN18" s="31">
        <f t="shared" si="9"/>
        <v>27605.630000000005</v>
      </c>
      <c r="EO18" s="31">
        <f t="shared" si="9"/>
        <v>51518.670000000006</v>
      </c>
      <c r="EP18" s="37">
        <f t="shared" si="9"/>
        <v>0.99980000000000002</v>
      </c>
      <c r="EQ18" s="31">
        <f t="shared" si="9"/>
        <v>208</v>
      </c>
      <c r="ER18" s="31">
        <f t="shared" si="9"/>
        <v>151131</v>
      </c>
      <c r="ES18" s="31">
        <f t="shared" si="9"/>
        <v>44117</v>
      </c>
      <c r="ET18" s="31">
        <f t="shared" si="9"/>
        <v>66028</v>
      </c>
      <c r="EU18" s="62">
        <f t="shared" si="9"/>
        <v>1</v>
      </c>
      <c r="EV18" s="31">
        <f t="shared" si="9"/>
        <v>113</v>
      </c>
      <c r="EW18" s="31">
        <f t="shared" si="9"/>
        <v>132907</v>
      </c>
      <c r="EX18" s="31">
        <f t="shared" si="9"/>
        <v>6555</v>
      </c>
      <c r="EY18" s="31">
        <f t="shared" si="9"/>
        <v>48042</v>
      </c>
      <c r="EZ18" s="62">
        <f t="shared" si="9"/>
        <v>1.01</v>
      </c>
    </row>
  </sheetData>
  <mergeCells count="125">
    <mergeCell ref="A3:A4"/>
    <mergeCell ref="ER3:ET3"/>
    <mergeCell ref="EU3:EU4"/>
    <mergeCell ref="EV3:EV4"/>
    <mergeCell ref="EW3:EY3"/>
    <mergeCell ref="EZ3:EZ4"/>
    <mergeCell ref="EH3:EJ3"/>
    <mergeCell ref="EK3:EK4"/>
    <mergeCell ref="EL3:EL4"/>
    <mergeCell ref="EM3:EO3"/>
    <mergeCell ref="EP3:EP4"/>
    <mergeCell ref="EQ3:EQ4"/>
    <mergeCell ref="DX3:DZ3"/>
    <mergeCell ref="EA3:EA4"/>
    <mergeCell ref="EB3:EB4"/>
    <mergeCell ref="EC3:EE3"/>
    <mergeCell ref="EF3:EF4"/>
    <mergeCell ref="EG3:EG4"/>
    <mergeCell ref="DI3:DK3"/>
    <mergeCell ref="DL3:DL4"/>
    <mergeCell ref="DR3:DR4"/>
    <mergeCell ref="DS3:DU3"/>
    <mergeCell ref="DV3:DV4"/>
    <mergeCell ref="DW3:DW4"/>
    <mergeCell ref="CY3:DA3"/>
    <mergeCell ref="DB3:DB4"/>
    <mergeCell ref="DC3:DC4"/>
    <mergeCell ref="DD3:DF3"/>
    <mergeCell ref="DG3:DG4"/>
    <mergeCell ref="DH3:DH4"/>
    <mergeCell ref="DM3:DM4"/>
    <mergeCell ref="DN3:DP3"/>
    <mergeCell ref="DQ3:DQ4"/>
    <mergeCell ref="CO3:CQ3"/>
    <mergeCell ref="CR3:CR4"/>
    <mergeCell ref="CS3:CS4"/>
    <mergeCell ref="CT3:CV3"/>
    <mergeCell ref="CW3:CW4"/>
    <mergeCell ref="CX3:CX4"/>
    <mergeCell ref="CE3:CG3"/>
    <mergeCell ref="CH3:CH4"/>
    <mergeCell ref="CI3:CI4"/>
    <mergeCell ref="CJ3:CL3"/>
    <mergeCell ref="CM3:CM4"/>
    <mergeCell ref="CN3:CN4"/>
    <mergeCell ref="BU3:BW3"/>
    <mergeCell ref="BX3:BX4"/>
    <mergeCell ref="BY3:BY4"/>
    <mergeCell ref="BZ3:CB3"/>
    <mergeCell ref="CC3:CC4"/>
    <mergeCell ref="CD3:CD4"/>
    <mergeCell ref="BK3:BM3"/>
    <mergeCell ref="BN3:BN4"/>
    <mergeCell ref="BO3:BO4"/>
    <mergeCell ref="BP3:BR3"/>
    <mergeCell ref="BS3:BS4"/>
    <mergeCell ref="BT3:BT4"/>
    <mergeCell ref="BD3:BD4"/>
    <mergeCell ref="BE3:BE4"/>
    <mergeCell ref="BF3:BH3"/>
    <mergeCell ref="BI3:BI4"/>
    <mergeCell ref="BJ3:BJ4"/>
    <mergeCell ref="AV3:AX3"/>
    <mergeCell ref="AY3:AY4"/>
    <mergeCell ref="AZ3:AZ4"/>
    <mergeCell ref="AT3:AT4"/>
    <mergeCell ref="AU3:AU4"/>
    <mergeCell ref="R3:T3"/>
    <mergeCell ref="U3:U4"/>
    <mergeCell ref="AL3:AN3"/>
    <mergeCell ref="AO3:AO4"/>
    <mergeCell ref="AP3:AP4"/>
    <mergeCell ref="AQ3:AS3"/>
    <mergeCell ref="V3:V4"/>
    <mergeCell ref="W3:Y3"/>
    <mergeCell ref="Z3:Z4"/>
    <mergeCell ref="AA3:AA4"/>
    <mergeCell ref="M3:O3"/>
    <mergeCell ref="AB3:AD3"/>
    <mergeCell ref="AE3:AE4"/>
    <mergeCell ref="AF3:AF4"/>
    <mergeCell ref="AG3:AI3"/>
    <mergeCell ref="EQ2:EU2"/>
    <mergeCell ref="EV2:EZ2"/>
    <mergeCell ref="DM2:DQ2"/>
    <mergeCell ref="DW2:EA2"/>
    <mergeCell ref="EB2:EF2"/>
    <mergeCell ref="EG2:EK2"/>
    <mergeCell ref="EL2:EP2"/>
    <mergeCell ref="BT2:BX2"/>
    <mergeCell ref="BY2:CC2"/>
    <mergeCell ref="AA2:AE2"/>
    <mergeCell ref="AF2:AJ2"/>
    <mergeCell ref="AK2:AO2"/>
    <mergeCell ref="AP2:AT2"/>
    <mergeCell ref="AU2:AY2"/>
    <mergeCell ref="AJ3:AJ4"/>
    <mergeCell ref="AK3:AK4"/>
    <mergeCell ref="BA3:BC3"/>
    <mergeCell ref="P3:P4"/>
    <mergeCell ref="Q3:Q4"/>
    <mergeCell ref="B3:B4"/>
    <mergeCell ref="C3:E3"/>
    <mergeCell ref="F3:F4"/>
    <mergeCell ref="G3:G4"/>
    <mergeCell ref="H3:J3"/>
    <mergeCell ref="K3:K4"/>
    <mergeCell ref="L3:L4"/>
    <mergeCell ref="DH2:DL2"/>
    <mergeCell ref="DR2:DV2"/>
    <mergeCell ref="CD2:CH2"/>
    <mergeCell ref="CI2:CM2"/>
    <mergeCell ref="CN2:CR2"/>
    <mergeCell ref="CS2:CW2"/>
    <mergeCell ref="CX2:DB2"/>
    <mergeCell ref="DC2:DG2"/>
    <mergeCell ref="AZ2:BD2"/>
    <mergeCell ref="BE2:BI2"/>
    <mergeCell ref="B2:F2"/>
    <mergeCell ref="G2:K2"/>
    <mergeCell ref="L2:P2"/>
    <mergeCell ref="Q2:U2"/>
    <mergeCell ref="V2:Z2"/>
    <mergeCell ref="BJ2:BN2"/>
    <mergeCell ref="BO2:BS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2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22" width="16" style="6" customWidth="1"/>
    <col min="23" max="23" width="16" style="38" customWidth="1"/>
    <col min="24" max="24" width="16" style="6" customWidth="1"/>
    <col min="25" max="25" width="16" style="38" customWidth="1"/>
    <col min="26" max="54" width="16" style="6" customWidth="1"/>
    <col min="55" max="55" width="16" style="38" customWidth="1"/>
    <col min="56" max="56" width="16" style="6" customWidth="1"/>
    <col min="57" max="57" width="16" style="38" customWidth="1"/>
    <col min="58" max="110" width="16" style="6" customWidth="1"/>
    <col min="111" max="111" width="16" style="38" customWidth="1"/>
    <col min="112" max="112" width="16" style="6" customWidth="1"/>
    <col min="113" max="113" width="16" style="38" customWidth="1"/>
    <col min="114" max="125" width="16" style="6" customWidth="1"/>
    <col min="126" max="16384" width="9.140625" style="6"/>
  </cols>
  <sheetData>
    <row r="1" spans="1:125" ht="18.75" x14ac:dyDescent="0.3">
      <c r="A1" s="12" t="s">
        <v>248</v>
      </c>
    </row>
    <row r="2" spans="1:125" x14ac:dyDescent="0.25">
      <c r="A2" s="6" t="s">
        <v>111</v>
      </c>
    </row>
    <row r="3" spans="1:125" x14ac:dyDescent="0.25">
      <c r="A3" s="1" t="s">
        <v>0</v>
      </c>
      <c r="B3" s="174" t="s">
        <v>1</v>
      </c>
      <c r="C3" s="174"/>
      <c r="D3" s="174"/>
      <c r="E3" s="174"/>
      <c r="F3" s="174" t="s">
        <v>234</v>
      </c>
      <c r="G3" s="174"/>
      <c r="H3" s="174"/>
      <c r="I3" s="174"/>
      <c r="J3" s="174" t="s">
        <v>2</v>
      </c>
      <c r="K3" s="174"/>
      <c r="L3" s="174"/>
      <c r="M3" s="174"/>
      <c r="N3" s="174" t="s">
        <v>3</v>
      </c>
      <c r="O3" s="174"/>
      <c r="P3" s="174"/>
      <c r="Q3" s="174"/>
      <c r="R3" s="174" t="s">
        <v>243</v>
      </c>
      <c r="S3" s="174"/>
      <c r="T3" s="174"/>
      <c r="U3" s="174"/>
      <c r="V3" s="154" t="s">
        <v>235</v>
      </c>
      <c r="W3" s="172"/>
      <c r="X3" s="172"/>
      <c r="Y3" s="155"/>
      <c r="Z3" s="154" t="s">
        <v>5</v>
      </c>
      <c r="AA3" s="172"/>
      <c r="AB3" s="172"/>
      <c r="AC3" s="155"/>
      <c r="AD3" s="154" t="s">
        <v>4</v>
      </c>
      <c r="AE3" s="172"/>
      <c r="AF3" s="172"/>
      <c r="AG3" s="155"/>
      <c r="AH3" s="154" t="s">
        <v>6</v>
      </c>
      <c r="AI3" s="172"/>
      <c r="AJ3" s="172"/>
      <c r="AK3" s="155"/>
      <c r="AL3" s="154" t="s">
        <v>246</v>
      </c>
      <c r="AM3" s="172"/>
      <c r="AN3" s="172"/>
      <c r="AO3" s="155"/>
      <c r="AP3" s="154" t="s">
        <v>7</v>
      </c>
      <c r="AQ3" s="172"/>
      <c r="AR3" s="172"/>
      <c r="AS3" s="155"/>
      <c r="AT3" s="154" t="s">
        <v>8</v>
      </c>
      <c r="AU3" s="172"/>
      <c r="AV3" s="172"/>
      <c r="AW3" s="155"/>
      <c r="AX3" s="154" t="s">
        <v>9</v>
      </c>
      <c r="AY3" s="172"/>
      <c r="AZ3" s="172"/>
      <c r="BA3" s="155"/>
      <c r="BB3" s="154" t="s">
        <v>242</v>
      </c>
      <c r="BC3" s="172"/>
      <c r="BD3" s="172"/>
      <c r="BE3" s="155"/>
      <c r="BF3" s="154" t="s">
        <v>10</v>
      </c>
      <c r="BG3" s="172"/>
      <c r="BH3" s="172"/>
      <c r="BI3" s="155"/>
      <c r="BJ3" s="154" t="s">
        <v>11</v>
      </c>
      <c r="BK3" s="172"/>
      <c r="BL3" s="172"/>
      <c r="BM3" s="155"/>
      <c r="BN3" s="154" t="s">
        <v>236</v>
      </c>
      <c r="BO3" s="172"/>
      <c r="BP3" s="172"/>
      <c r="BQ3" s="155"/>
      <c r="BR3" s="154" t="s">
        <v>245</v>
      </c>
      <c r="BS3" s="172"/>
      <c r="BT3" s="172"/>
      <c r="BU3" s="155"/>
      <c r="BV3" s="154" t="s">
        <v>12</v>
      </c>
      <c r="BW3" s="172"/>
      <c r="BX3" s="172"/>
      <c r="BY3" s="155"/>
      <c r="BZ3" s="154" t="s">
        <v>237</v>
      </c>
      <c r="CA3" s="172"/>
      <c r="CB3" s="172"/>
      <c r="CC3" s="155"/>
      <c r="CD3" s="154" t="s">
        <v>238</v>
      </c>
      <c r="CE3" s="172"/>
      <c r="CF3" s="172"/>
      <c r="CG3" s="155"/>
      <c r="CH3" s="154" t="s">
        <v>241</v>
      </c>
      <c r="CI3" s="172"/>
      <c r="CJ3" s="172"/>
      <c r="CK3" s="155"/>
      <c r="CL3" s="174" t="s">
        <v>13</v>
      </c>
      <c r="CM3" s="174"/>
      <c r="CN3" s="174"/>
      <c r="CO3" s="174"/>
      <c r="CP3" s="174" t="s">
        <v>14</v>
      </c>
      <c r="CQ3" s="174"/>
      <c r="CR3" s="174"/>
      <c r="CS3" s="174"/>
      <c r="CT3" s="174" t="s">
        <v>15</v>
      </c>
      <c r="CU3" s="174"/>
      <c r="CV3" s="174"/>
      <c r="CW3" s="174"/>
      <c r="CX3" s="174" t="s">
        <v>16</v>
      </c>
      <c r="CY3" s="174"/>
      <c r="CZ3" s="174"/>
      <c r="DA3" s="174"/>
      <c r="DB3" s="174" t="s">
        <v>17</v>
      </c>
      <c r="DC3" s="174"/>
      <c r="DD3" s="174"/>
      <c r="DE3" s="174"/>
      <c r="DF3" s="174" t="s">
        <v>239</v>
      </c>
      <c r="DG3" s="174"/>
      <c r="DH3" s="174"/>
      <c r="DI3" s="174"/>
      <c r="DJ3" s="174" t="s">
        <v>240</v>
      </c>
      <c r="DK3" s="174"/>
      <c r="DL3" s="174"/>
      <c r="DM3" s="174"/>
      <c r="DN3" s="175" t="s">
        <v>18</v>
      </c>
      <c r="DO3" s="175"/>
      <c r="DP3" s="175"/>
      <c r="DQ3" s="175"/>
      <c r="DR3" s="160" t="s">
        <v>19</v>
      </c>
      <c r="DS3" s="160"/>
      <c r="DT3" s="160"/>
      <c r="DU3" s="160"/>
    </row>
    <row r="4" spans="1:125" ht="15" customHeight="1" x14ac:dyDescent="0.25">
      <c r="A4" s="1"/>
      <c r="B4" s="164" t="s">
        <v>300</v>
      </c>
      <c r="C4" s="164"/>
      <c r="D4" s="173" t="s">
        <v>301</v>
      </c>
      <c r="E4" s="173"/>
      <c r="F4" s="164" t="s">
        <v>300</v>
      </c>
      <c r="G4" s="164"/>
      <c r="H4" s="173" t="s">
        <v>301</v>
      </c>
      <c r="I4" s="173"/>
      <c r="J4" s="164" t="s">
        <v>300</v>
      </c>
      <c r="K4" s="164"/>
      <c r="L4" s="173" t="s">
        <v>301</v>
      </c>
      <c r="M4" s="173"/>
      <c r="N4" s="164" t="s">
        <v>300</v>
      </c>
      <c r="O4" s="164"/>
      <c r="P4" s="173" t="s">
        <v>301</v>
      </c>
      <c r="Q4" s="173"/>
      <c r="R4" s="164" t="s">
        <v>300</v>
      </c>
      <c r="S4" s="164"/>
      <c r="T4" s="173" t="s">
        <v>301</v>
      </c>
      <c r="U4" s="173"/>
      <c r="V4" s="164" t="s">
        <v>300</v>
      </c>
      <c r="W4" s="164"/>
      <c r="X4" s="173" t="s">
        <v>301</v>
      </c>
      <c r="Y4" s="173"/>
      <c r="Z4" s="164" t="s">
        <v>300</v>
      </c>
      <c r="AA4" s="164"/>
      <c r="AB4" s="173" t="s">
        <v>301</v>
      </c>
      <c r="AC4" s="173"/>
      <c r="AD4" s="164" t="s">
        <v>300</v>
      </c>
      <c r="AE4" s="164"/>
      <c r="AF4" s="173" t="s">
        <v>301</v>
      </c>
      <c r="AG4" s="173"/>
      <c r="AH4" s="164" t="s">
        <v>300</v>
      </c>
      <c r="AI4" s="164"/>
      <c r="AJ4" s="173" t="s">
        <v>301</v>
      </c>
      <c r="AK4" s="173"/>
      <c r="AL4" s="164" t="s">
        <v>300</v>
      </c>
      <c r="AM4" s="164"/>
      <c r="AN4" s="173" t="s">
        <v>301</v>
      </c>
      <c r="AO4" s="173"/>
      <c r="AP4" s="164" t="s">
        <v>300</v>
      </c>
      <c r="AQ4" s="164"/>
      <c r="AR4" s="173" t="s">
        <v>301</v>
      </c>
      <c r="AS4" s="173"/>
      <c r="AT4" s="164" t="s">
        <v>300</v>
      </c>
      <c r="AU4" s="164"/>
      <c r="AV4" s="173" t="s">
        <v>301</v>
      </c>
      <c r="AW4" s="173"/>
      <c r="AX4" s="164" t="s">
        <v>300</v>
      </c>
      <c r="AY4" s="164"/>
      <c r="AZ4" s="173" t="s">
        <v>301</v>
      </c>
      <c r="BA4" s="173"/>
      <c r="BB4" s="164" t="s">
        <v>300</v>
      </c>
      <c r="BC4" s="164"/>
      <c r="BD4" s="173" t="s">
        <v>301</v>
      </c>
      <c r="BE4" s="173"/>
      <c r="BF4" s="164" t="s">
        <v>300</v>
      </c>
      <c r="BG4" s="164"/>
      <c r="BH4" s="173" t="s">
        <v>301</v>
      </c>
      <c r="BI4" s="173"/>
      <c r="BJ4" s="164" t="s">
        <v>300</v>
      </c>
      <c r="BK4" s="164"/>
      <c r="BL4" s="173" t="s">
        <v>301</v>
      </c>
      <c r="BM4" s="173"/>
      <c r="BN4" s="164" t="s">
        <v>300</v>
      </c>
      <c r="BO4" s="164"/>
      <c r="BP4" s="173" t="s">
        <v>301</v>
      </c>
      <c r="BQ4" s="173"/>
      <c r="BR4" s="164" t="s">
        <v>300</v>
      </c>
      <c r="BS4" s="164"/>
      <c r="BT4" s="173" t="s">
        <v>301</v>
      </c>
      <c r="BU4" s="173"/>
      <c r="BV4" s="164" t="s">
        <v>300</v>
      </c>
      <c r="BW4" s="164"/>
      <c r="BX4" s="173" t="s">
        <v>301</v>
      </c>
      <c r="BY4" s="173"/>
      <c r="BZ4" s="164" t="s">
        <v>300</v>
      </c>
      <c r="CA4" s="164"/>
      <c r="CB4" s="173" t="s">
        <v>301</v>
      </c>
      <c r="CC4" s="173"/>
      <c r="CD4" s="164" t="s">
        <v>300</v>
      </c>
      <c r="CE4" s="164"/>
      <c r="CF4" s="173" t="s">
        <v>301</v>
      </c>
      <c r="CG4" s="173"/>
      <c r="CH4" s="164" t="s">
        <v>300</v>
      </c>
      <c r="CI4" s="164"/>
      <c r="CJ4" s="173" t="s">
        <v>301</v>
      </c>
      <c r="CK4" s="173"/>
      <c r="CL4" s="164" t="s">
        <v>300</v>
      </c>
      <c r="CM4" s="164"/>
      <c r="CN4" s="173" t="s">
        <v>301</v>
      </c>
      <c r="CO4" s="173"/>
      <c r="CP4" s="164" t="s">
        <v>300</v>
      </c>
      <c r="CQ4" s="164"/>
      <c r="CR4" s="173" t="s">
        <v>301</v>
      </c>
      <c r="CS4" s="173"/>
      <c r="CT4" s="164" t="s">
        <v>300</v>
      </c>
      <c r="CU4" s="164"/>
      <c r="CV4" s="173" t="s">
        <v>301</v>
      </c>
      <c r="CW4" s="173"/>
      <c r="CX4" s="164" t="s">
        <v>300</v>
      </c>
      <c r="CY4" s="164"/>
      <c r="CZ4" s="173" t="s">
        <v>301</v>
      </c>
      <c r="DA4" s="173"/>
      <c r="DB4" s="164" t="s">
        <v>300</v>
      </c>
      <c r="DC4" s="164"/>
      <c r="DD4" s="173" t="s">
        <v>301</v>
      </c>
      <c r="DE4" s="173"/>
      <c r="DF4" s="164" t="s">
        <v>300</v>
      </c>
      <c r="DG4" s="164"/>
      <c r="DH4" s="173" t="s">
        <v>301</v>
      </c>
      <c r="DI4" s="173"/>
      <c r="DJ4" s="164" t="s">
        <v>300</v>
      </c>
      <c r="DK4" s="164"/>
      <c r="DL4" s="173" t="s">
        <v>301</v>
      </c>
      <c r="DM4" s="173"/>
      <c r="DN4" s="164" t="s">
        <v>300</v>
      </c>
      <c r="DO4" s="164"/>
      <c r="DP4" s="173" t="s">
        <v>301</v>
      </c>
      <c r="DQ4" s="173"/>
      <c r="DR4" s="164" t="s">
        <v>300</v>
      </c>
      <c r="DS4" s="164"/>
      <c r="DT4" s="173" t="s">
        <v>301</v>
      </c>
      <c r="DU4" s="173"/>
    </row>
    <row r="5" spans="1:125" s="58" customFormat="1" x14ac:dyDescent="0.25">
      <c r="A5" s="57"/>
      <c r="B5" s="80" t="s">
        <v>121</v>
      </c>
      <c r="C5" s="80" t="s">
        <v>122</v>
      </c>
      <c r="D5" s="80" t="s">
        <v>121</v>
      </c>
      <c r="E5" s="80" t="s">
        <v>122</v>
      </c>
      <c r="F5" s="80" t="s">
        <v>121</v>
      </c>
      <c r="G5" s="80" t="s">
        <v>122</v>
      </c>
      <c r="H5" s="80" t="s">
        <v>121</v>
      </c>
      <c r="I5" s="80" t="s">
        <v>122</v>
      </c>
      <c r="J5" s="80" t="s">
        <v>121</v>
      </c>
      <c r="K5" s="80" t="s">
        <v>122</v>
      </c>
      <c r="L5" s="80" t="s">
        <v>121</v>
      </c>
      <c r="M5" s="80" t="s">
        <v>122</v>
      </c>
      <c r="N5" s="80" t="s">
        <v>121</v>
      </c>
      <c r="O5" s="80" t="s">
        <v>122</v>
      </c>
      <c r="P5" s="80" t="s">
        <v>121</v>
      </c>
      <c r="Q5" s="80" t="s">
        <v>122</v>
      </c>
      <c r="R5" s="80" t="s">
        <v>121</v>
      </c>
      <c r="S5" s="80" t="s">
        <v>122</v>
      </c>
      <c r="T5" s="80" t="s">
        <v>121</v>
      </c>
      <c r="U5" s="80" t="s">
        <v>122</v>
      </c>
      <c r="V5" s="80" t="s">
        <v>121</v>
      </c>
      <c r="W5" s="80" t="s">
        <v>122</v>
      </c>
      <c r="X5" s="80" t="s">
        <v>121</v>
      </c>
      <c r="Y5" s="80" t="s">
        <v>122</v>
      </c>
      <c r="Z5" s="80" t="s">
        <v>121</v>
      </c>
      <c r="AA5" s="80" t="s">
        <v>122</v>
      </c>
      <c r="AB5" s="80" t="s">
        <v>121</v>
      </c>
      <c r="AC5" s="80" t="s">
        <v>122</v>
      </c>
      <c r="AD5" s="80" t="s">
        <v>121</v>
      </c>
      <c r="AE5" s="80" t="s">
        <v>122</v>
      </c>
      <c r="AF5" s="80" t="s">
        <v>121</v>
      </c>
      <c r="AG5" s="80" t="s">
        <v>122</v>
      </c>
      <c r="AH5" s="80" t="s">
        <v>121</v>
      </c>
      <c r="AI5" s="80" t="s">
        <v>122</v>
      </c>
      <c r="AJ5" s="80" t="s">
        <v>121</v>
      </c>
      <c r="AK5" s="80" t="s">
        <v>122</v>
      </c>
      <c r="AL5" s="80" t="s">
        <v>121</v>
      </c>
      <c r="AM5" s="80" t="s">
        <v>122</v>
      </c>
      <c r="AN5" s="80" t="s">
        <v>121</v>
      </c>
      <c r="AO5" s="80" t="s">
        <v>122</v>
      </c>
      <c r="AP5" s="80" t="s">
        <v>121</v>
      </c>
      <c r="AQ5" s="80" t="s">
        <v>122</v>
      </c>
      <c r="AR5" s="80" t="s">
        <v>121</v>
      </c>
      <c r="AS5" s="80" t="s">
        <v>122</v>
      </c>
      <c r="AT5" s="80" t="s">
        <v>121</v>
      </c>
      <c r="AU5" s="80" t="s">
        <v>122</v>
      </c>
      <c r="AV5" s="80" t="s">
        <v>121</v>
      </c>
      <c r="AW5" s="80" t="s">
        <v>122</v>
      </c>
      <c r="AX5" s="80" t="s">
        <v>121</v>
      </c>
      <c r="AY5" s="80" t="s">
        <v>122</v>
      </c>
      <c r="AZ5" s="80" t="s">
        <v>121</v>
      </c>
      <c r="BA5" s="80" t="s">
        <v>122</v>
      </c>
      <c r="BB5" s="80" t="s">
        <v>121</v>
      </c>
      <c r="BC5" s="80" t="s">
        <v>122</v>
      </c>
      <c r="BD5" s="80" t="s">
        <v>121</v>
      </c>
      <c r="BE5" s="80" t="s">
        <v>122</v>
      </c>
      <c r="BF5" s="80" t="s">
        <v>121</v>
      </c>
      <c r="BG5" s="80" t="s">
        <v>122</v>
      </c>
      <c r="BH5" s="80" t="s">
        <v>121</v>
      </c>
      <c r="BI5" s="80" t="s">
        <v>122</v>
      </c>
      <c r="BJ5" s="80" t="s">
        <v>121</v>
      </c>
      <c r="BK5" s="80" t="s">
        <v>122</v>
      </c>
      <c r="BL5" s="80" t="s">
        <v>121</v>
      </c>
      <c r="BM5" s="80" t="s">
        <v>122</v>
      </c>
      <c r="BN5" s="80" t="s">
        <v>121</v>
      </c>
      <c r="BO5" s="80" t="s">
        <v>122</v>
      </c>
      <c r="BP5" s="80" t="s">
        <v>121</v>
      </c>
      <c r="BQ5" s="80" t="s">
        <v>122</v>
      </c>
      <c r="BR5" s="80" t="s">
        <v>121</v>
      </c>
      <c r="BS5" s="80" t="s">
        <v>122</v>
      </c>
      <c r="BT5" s="80" t="s">
        <v>121</v>
      </c>
      <c r="BU5" s="80" t="s">
        <v>122</v>
      </c>
      <c r="BV5" s="80" t="s">
        <v>121</v>
      </c>
      <c r="BW5" s="80" t="s">
        <v>122</v>
      </c>
      <c r="BX5" s="80" t="s">
        <v>121</v>
      </c>
      <c r="BY5" s="80" t="s">
        <v>122</v>
      </c>
      <c r="BZ5" s="80" t="s">
        <v>121</v>
      </c>
      <c r="CA5" s="80" t="s">
        <v>122</v>
      </c>
      <c r="CB5" s="80" t="s">
        <v>121</v>
      </c>
      <c r="CC5" s="80" t="s">
        <v>122</v>
      </c>
      <c r="CD5" s="80" t="s">
        <v>121</v>
      </c>
      <c r="CE5" s="80" t="s">
        <v>122</v>
      </c>
      <c r="CF5" s="80" t="s">
        <v>121</v>
      </c>
      <c r="CG5" s="80" t="s">
        <v>122</v>
      </c>
      <c r="CH5" s="80" t="s">
        <v>121</v>
      </c>
      <c r="CI5" s="80" t="s">
        <v>122</v>
      </c>
      <c r="CJ5" s="80" t="s">
        <v>121</v>
      </c>
      <c r="CK5" s="80" t="s">
        <v>122</v>
      </c>
      <c r="CL5" s="80" t="s">
        <v>121</v>
      </c>
      <c r="CM5" s="80" t="s">
        <v>122</v>
      </c>
      <c r="CN5" s="80" t="s">
        <v>121</v>
      </c>
      <c r="CO5" s="80" t="s">
        <v>122</v>
      </c>
      <c r="CP5" s="80" t="s">
        <v>121</v>
      </c>
      <c r="CQ5" s="80" t="s">
        <v>122</v>
      </c>
      <c r="CR5" s="80" t="s">
        <v>121</v>
      </c>
      <c r="CS5" s="80" t="s">
        <v>122</v>
      </c>
      <c r="CT5" s="80" t="s">
        <v>121</v>
      </c>
      <c r="CU5" s="80" t="s">
        <v>122</v>
      </c>
      <c r="CV5" s="80" t="s">
        <v>121</v>
      </c>
      <c r="CW5" s="80" t="s">
        <v>122</v>
      </c>
      <c r="CX5" s="80" t="s">
        <v>121</v>
      </c>
      <c r="CY5" s="80" t="s">
        <v>122</v>
      </c>
      <c r="CZ5" s="80" t="s">
        <v>121</v>
      </c>
      <c r="DA5" s="80" t="s">
        <v>122</v>
      </c>
      <c r="DB5" s="80" t="s">
        <v>121</v>
      </c>
      <c r="DC5" s="80" t="s">
        <v>122</v>
      </c>
      <c r="DD5" s="80" t="s">
        <v>121</v>
      </c>
      <c r="DE5" s="80" t="s">
        <v>122</v>
      </c>
      <c r="DF5" s="80" t="s">
        <v>121</v>
      </c>
      <c r="DG5" s="80" t="s">
        <v>122</v>
      </c>
      <c r="DH5" s="80" t="s">
        <v>121</v>
      </c>
      <c r="DI5" s="80" t="s">
        <v>122</v>
      </c>
      <c r="DJ5" s="80" t="s">
        <v>121</v>
      </c>
      <c r="DK5" s="80" t="s">
        <v>122</v>
      </c>
      <c r="DL5" s="80" t="s">
        <v>121</v>
      </c>
      <c r="DM5" s="80" t="s">
        <v>122</v>
      </c>
      <c r="DN5" s="80" t="s">
        <v>121</v>
      </c>
      <c r="DO5" s="80" t="s">
        <v>122</v>
      </c>
      <c r="DP5" s="80" t="s">
        <v>121</v>
      </c>
      <c r="DQ5" s="80" t="s">
        <v>122</v>
      </c>
      <c r="DR5" s="80" t="s">
        <v>121</v>
      </c>
      <c r="DS5" s="80" t="s">
        <v>122</v>
      </c>
      <c r="DT5" s="80" t="s">
        <v>121</v>
      </c>
      <c r="DU5" s="80" t="s">
        <v>122</v>
      </c>
    </row>
    <row r="6" spans="1:125" x14ac:dyDescent="0.25">
      <c r="A6" s="91" t="s">
        <v>112</v>
      </c>
      <c r="B6" s="91"/>
      <c r="C6" s="91"/>
      <c r="D6" s="91"/>
      <c r="E6" s="91"/>
      <c r="F6" s="91">
        <v>58611</v>
      </c>
      <c r="G6" s="91">
        <v>9569</v>
      </c>
      <c r="H6" s="91">
        <v>181512</v>
      </c>
      <c r="I6" s="91">
        <v>27371</v>
      </c>
      <c r="J6" s="91"/>
      <c r="K6" s="91"/>
      <c r="L6" s="91"/>
      <c r="M6" s="91"/>
      <c r="N6" s="91">
        <v>589599</v>
      </c>
      <c r="O6" s="91">
        <v>56884</v>
      </c>
      <c r="P6" s="91">
        <v>2293682</v>
      </c>
      <c r="Q6" s="91">
        <v>203647</v>
      </c>
      <c r="R6" s="91">
        <v>333644</v>
      </c>
      <c r="S6" s="91">
        <v>43589</v>
      </c>
      <c r="T6" s="91">
        <v>808012</v>
      </c>
      <c r="U6" s="91">
        <v>134224</v>
      </c>
      <c r="V6" s="91">
        <v>12265</v>
      </c>
      <c r="W6" s="91">
        <v>1583</v>
      </c>
      <c r="X6" s="91">
        <v>42113</v>
      </c>
      <c r="Y6" s="91">
        <v>5295</v>
      </c>
      <c r="Z6" s="91"/>
      <c r="AA6" s="91"/>
      <c r="AB6" s="91"/>
      <c r="AC6" s="91"/>
      <c r="AD6" s="91">
        <v>1474</v>
      </c>
      <c r="AE6" s="91">
        <v>151.07</v>
      </c>
      <c r="AF6" s="91">
        <v>5553</v>
      </c>
      <c r="AG6" s="91">
        <v>635.54999999999995</v>
      </c>
      <c r="AH6" s="91">
        <v>229785</v>
      </c>
      <c r="AI6" s="91">
        <v>19382.34</v>
      </c>
      <c r="AJ6" s="91">
        <v>706811</v>
      </c>
      <c r="AK6" s="91">
        <v>59802.37</v>
      </c>
      <c r="AL6" s="91">
        <v>82331</v>
      </c>
      <c r="AM6" s="91">
        <v>6054</v>
      </c>
      <c r="AN6" s="91">
        <v>261593</v>
      </c>
      <c r="AO6" s="91">
        <v>18426</v>
      </c>
      <c r="AP6" s="91">
        <v>499402</v>
      </c>
      <c r="AQ6" s="91">
        <v>87882</v>
      </c>
      <c r="AR6" s="91">
        <v>1674711</v>
      </c>
      <c r="AS6" s="91">
        <v>277108</v>
      </c>
      <c r="AT6" s="91">
        <v>474449</v>
      </c>
      <c r="AU6" s="91">
        <v>61237</v>
      </c>
      <c r="AV6" s="91">
        <v>1628755</v>
      </c>
      <c r="AW6" s="91">
        <v>204776</v>
      </c>
      <c r="AX6" s="91">
        <v>754813</v>
      </c>
      <c r="AY6" s="91">
        <v>38006.19</v>
      </c>
      <c r="AZ6" s="91">
        <v>2566895</v>
      </c>
      <c r="BA6" s="91">
        <v>139083.25</v>
      </c>
      <c r="BB6" s="91">
        <v>3863</v>
      </c>
      <c r="BC6" s="91">
        <v>567.97</v>
      </c>
      <c r="BD6" s="91">
        <v>11747</v>
      </c>
      <c r="BE6" s="91">
        <v>1636.02</v>
      </c>
      <c r="BF6" s="91">
        <v>28882</v>
      </c>
      <c r="BG6" s="91">
        <v>2763.1547780000001</v>
      </c>
      <c r="BH6" s="91">
        <v>115619</v>
      </c>
      <c r="BI6" s="91">
        <v>10634.434999999999</v>
      </c>
      <c r="BJ6" s="91">
        <v>14661</v>
      </c>
      <c r="BK6" s="91">
        <v>1887</v>
      </c>
      <c r="BL6" s="91">
        <v>60428</v>
      </c>
      <c r="BM6" s="91">
        <v>7031</v>
      </c>
      <c r="BN6" s="91">
        <v>41916</v>
      </c>
      <c r="BO6" s="91">
        <v>7826</v>
      </c>
      <c r="BP6" s="91">
        <v>145752</v>
      </c>
      <c r="BQ6" s="91">
        <v>25095</v>
      </c>
      <c r="BR6" s="91">
        <v>165443</v>
      </c>
      <c r="BS6" s="91">
        <v>35994</v>
      </c>
      <c r="BT6" s="91">
        <v>507540</v>
      </c>
      <c r="BU6" s="91">
        <v>104786</v>
      </c>
      <c r="BV6" s="91">
        <v>1784047</v>
      </c>
      <c r="BW6" s="91">
        <v>154617.22</v>
      </c>
      <c r="BX6" s="91">
        <v>6913578</v>
      </c>
      <c r="BY6" s="91">
        <v>580105.93999999994</v>
      </c>
      <c r="BZ6" s="91"/>
      <c r="CA6" s="91"/>
      <c r="CB6" s="91"/>
      <c r="CC6" s="91"/>
      <c r="CD6" s="91">
        <v>1038</v>
      </c>
      <c r="CE6" s="91">
        <v>323.33</v>
      </c>
      <c r="CF6" s="91">
        <v>3959</v>
      </c>
      <c r="CG6" s="91">
        <v>852.62</v>
      </c>
      <c r="CH6" s="91">
        <v>317281</v>
      </c>
      <c r="CI6" s="91">
        <v>27507</v>
      </c>
      <c r="CJ6" s="91">
        <v>1170352</v>
      </c>
      <c r="CK6" s="91">
        <v>92962</v>
      </c>
      <c r="CL6" s="91">
        <v>87980</v>
      </c>
      <c r="CM6" s="91">
        <v>8668</v>
      </c>
      <c r="CN6" s="91">
        <v>288848</v>
      </c>
      <c r="CO6" s="91">
        <v>32944</v>
      </c>
      <c r="CP6" s="91">
        <v>76386</v>
      </c>
      <c r="CQ6" s="91">
        <v>12109</v>
      </c>
      <c r="CR6" s="91">
        <v>261897</v>
      </c>
      <c r="CS6" s="91">
        <v>37524</v>
      </c>
      <c r="CT6" s="91">
        <v>75708</v>
      </c>
      <c r="CU6" s="91">
        <v>3722.47</v>
      </c>
      <c r="CV6" s="91">
        <v>285511</v>
      </c>
      <c r="CW6" s="91">
        <v>12857.83</v>
      </c>
      <c r="CX6" s="91">
        <v>2043505</v>
      </c>
      <c r="CY6" s="91">
        <v>306262</v>
      </c>
      <c r="CZ6" s="91">
        <v>6481455</v>
      </c>
      <c r="DA6" s="91">
        <v>913066</v>
      </c>
      <c r="DB6" s="91">
        <v>429543</v>
      </c>
      <c r="DC6" s="91">
        <v>65570</v>
      </c>
      <c r="DD6" s="91">
        <v>1486845</v>
      </c>
      <c r="DE6" s="91">
        <v>217462</v>
      </c>
      <c r="DF6" s="91">
        <v>4321878</v>
      </c>
      <c r="DG6" s="91">
        <v>266961.37</v>
      </c>
      <c r="DH6" s="91">
        <v>13459764</v>
      </c>
      <c r="DI6" s="91">
        <v>955812.63</v>
      </c>
      <c r="DJ6" s="91">
        <v>1256844</v>
      </c>
      <c r="DK6" s="91">
        <v>148225.38</v>
      </c>
      <c r="DL6" s="91">
        <v>4756367</v>
      </c>
      <c r="DM6" s="91">
        <v>497533.37</v>
      </c>
      <c r="DN6" s="91">
        <v>2996261</v>
      </c>
      <c r="DO6" s="91">
        <v>202758.63</v>
      </c>
      <c r="DP6" s="91">
        <v>10865825</v>
      </c>
      <c r="DQ6" s="91">
        <v>724423.63</v>
      </c>
      <c r="DR6" s="91">
        <v>19179</v>
      </c>
      <c r="DS6" s="91">
        <v>2188</v>
      </c>
      <c r="DT6" s="91">
        <v>60104</v>
      </c>
      <c r="DU6" s="91">
        <v>6675</v>
      </c>
    </row>
    <row r="7" spans="1:125" x14ac:dyDescent="0.25">
      <c r="A7" s="91" t="s">
        <v>113</v>
      </c>
      <c r="B7" s="91"/>
      <c r="C7" s="91"/>
      <c r="D7" s="91"/>
      <c r="E7" s="91"/>
      <c r="F7" s="91">
        <v>67876</v>
      </c>
      <c r="G7" s="91">
        <v>12285</v>
      </c>
      <c r="H7" s="91">
        <v>271385</v>
      </c>
      <c r="I7" s="91">
        <v>45039</v>
      </c>
      <c r="J7" s="91">
        <v>579</v>
      </c>
      <c r="K7" s="91">
        <v>7.3</v>
      </c>
      <c r="L7" s="91">
        <v>579</v>
      </c>
      <c r="M7" s="91">
        <v>7.3</v>
      </c>
      <c r="N7" s="91">
        <v>1831710</v>
      </c>
      <c r="O7" s="91">
        <v>36498</v>
      </c>
      <c r="P7" s="91">
        <v>5913268</v>
      </c>
      <c r="Q7" s="91">
        <v>121668</v>
      </c>
      <c r="R7" s="91">
        <v>160790</v>
      </c>
      <c r="S7" s="91">
        <v>20793</v>
      </c>
      <c r="T7" s="91">
        <v>296390</v>
      </c>
      <c r="U7" s="91">
        <v>65970</v>
      </c>
      <c r="V7" s="91">
        <v>592429</v>
      </c>
      <c r="W7" s="91">
        <v>30545</v>
      </c>
      <c r="X7" s="91">
        <v>1986724</v>
      </c>
      <c r="Y7" s="91">
        <v>102460</v>
      </c>
      <c r="Z7" s="91"/>
      <c r="AA7" s="91"/>
      <c r="AB7" s="91"/>
      <c r="AC7" s="91">
        <v>0.08</v>
      </c>
      <c r="AD7" s="91">
        <v>27</v>
      </c>
      <c r="AE7" s="91">
        <v>0.32</v>
      </c>
      <c r="AF7" s="91">
        <v>135</v>
      </c>
      <c r="AG7" s="91">
        <v>2.27</v>
      </c>
      <c r="AH7" s="91">
        <v>369559</v>
      </c>
      <c r="AI7" s="91">
        <v>8805.4599999999991</v>
      </c>
      <c r="AJ7" s="91">
        <v>1114328</v>
      </c>
      <c r="AK7" s="91">
        <v>25778.27</v>
      </c>
      <c r="AL7" s="91">
        <v>3651</v>
      </c>
      <c r="AM7" s="91">
        <v>412</v>
      </c>
      <c r="AN7" s="91">
        <v>12546</v>
      </c>
      <c r="AO7" s="91">
        <v>1552</v>
      </c>
      <c r="AP7" s="91">
        <v>276962</v>
      </c>
      <c r="AQ7" s="91">
        <v>39966</v>
      </c>
      <c r="AR7" s="91">
        <v>1426798</v>
      </c>
      <c r="AS7" s="91">
        <v>148944</v>
      </c>
      <c r="AT7" s="91">
        <v>282144</v>
      </c>
      <c r="AU7" s="91">
        <v>38880</v>
      </c>
      <c r="AV7" s="91">
        <v>1650234</v>
      </c>
      <c r="AW7" s="91">
        <v>136724</v>
      </c>
      <c r="AX7" s="91">
        <v>75532</v>
      </c>
      <c r="AY7" s="91">
        <v>1896.01</v>
      </c>
      <c r="AZ7" s="91">
        <v>301140</v>
      </c>
      <c r="BA7" s="91">
        <v>8173.12</v>
      </c>
      <c r="BB7" s="91">
        <v>20886</v>
      </c>
      <c r="BC7" s="91">
        <v>2895.85</v>
      </c>
      <c r="BD7" s="91">
        <v>93095</v>
      </c>
      <c r="BE7" s="91">
        <v>12081.94</v>
      </c>
      <c r="BF7" s="91">
        <v>2440</v>
      </c>
      <c r="BG7" s="91">
        <v>1339.5065850000001</v>
      </c>
      <c r="BH7" s="91">
        <v>7445</v>
      </c>
      <c r="BI7" s="91">
        <v>1440.3214230000001</v>
      </c>
      <c r="BJ7" s="91">
        <v>2192</v>
      </c>
      <c r="BK7" s="91">
        <v>19</v>
      </c>
      <c r="BL7" s="91">
        <v>8692</v>
      </c>
      <c r="BM7" s="91">
        <v>128</v>
      </c>
      <c r="BN7" s="91">
        <v>10253</v>
      </c>
      <c r="BO7" s="91">
        <v>4993</v>
      </c>
      <c r="BP7" s="91">
        <v>32898</v>
      </c>
      <c r="BQ7" s="91">
        <v>16083</v>
      </c>
      <c r="BR7" s="91">
        <v>75069</v>
      </c>
      <c r="BS7" s="91">
        <v>17406</v>
      </c>
      <c r="BT7" s="91">
        <v>244045</v>
      </c>
      <c r="BU7" s="91">
        <v>52243</v>
      </c>
      <c r="BV7" s="91">
        <v>9098</v>
      </c>
      <c r="BW7" s="91">
        <v>305.23</v>
      </c>
      <c r="BX7" s="91">
        <v>32121</v>
      </c>
      <c r="BY7" s="91">
        <v>1719.3</v>
      </c>
      <c r="BZ7" s="91"/>
      <c r="CA7" s="91"/>
      <c r="CB7" s="91"/>
      <c r="CC7" s="91"/>
      <c r="CD7" s="91"/>
      <c r="CE7" s="91"/>
      <c r="CF7" s="91"/>
      <c r="CG7" s="91"/>
      <c r="CH7" s="91">
        <v>187819</v>
      </c>
      <c r="CI7" s="91">
        <v>10612</v>
      </c>
      <c r="CJ7" s="91">
        <v>712576</v>
      </c>
      <c r="CK7" s="91">
        <v>36166</v>
      </c>
      <c r="CL7" s="91">
        <v>11504</v>
      </c>
      <c r="CM7" s="91">
        <v>1847</v>
      </c>
      <c r="CN7" s="91">
        <v>46823</v>
      </c>
      <c r="CO7" s="91">
        <v>6934</v>
      </c>
      <c r="CP7" s="91">
        <v>798350</v>
      </c>
      <c r="CQ7" s="91">
        <v>80621</v>
      </c>
      <c r="CR7" s="91">
        <v>2305673</v>
      </c>
      <c r="CS7" s="91">
        <v>233645</v>
      </c>
      <c r="CT7" s="91">
        <v>5026</v>
      </c>
      <c r="CU7" s="91">
        <v>101.69</v>
      </c>
      <c r="CV7" s="91">
        <v>18986</v>
      </c>
      <c r="CW7" s="91">
        <v>511.68</v>
      </c>
      <c r="CX7" s="91">
        <v>56068</v>
      </c>
      <c r="CY7" s="91">
        <v>10037</v>
      </c>
      <c r="CZ7" s="91">
        <v>169896</v>
      </c>
      <c r="DA7" s="91">
        <v>32588</v>
      </c>
      <c r="DB7" s="91">
        <v>387019</v>
      </c>
      <c r="DC7" s="91">
        <v>39961</v>
      </c>
      <c r="DD7" s="91">
        <v>1125105</v>
      </c>
      <c r="DE7" s="91">
        <v>123763</v>
      </c>
      <c r="DF7" s="91">
        <v>102024</v>
      </c>
      <c r="DG7" s="91">
        <v>7145.45</v>
      </c>
      <c r="DH7" s="91">
        <v>331543</v>
      </c>
      <c r="DI7" s="91">
        <v>26765.11</v>
      </c>
      <c r="DJ7" s="91">
        <v>76607</v>
      </c>
      <c r="DK7" s="91">
        <v>8181.22</v>
      </c>
      <c r="DL7" s="91">
        <v>300429</v>
      </c>
      <c r="DM7" s="91">
        <v>25538.23</v>
      </c>
      <c r="DN7" s="91">
        <v>90183</v>
      </c>
      <c r="DO7" s="91">
        <v>4710.84</v>
      </c>
      <c r="DP7" s="91">
        <v>323479</v>
      </c>
      <c r="DQ7" s="91">
        <v>30602.93</v>
      </c>
      <c r="DR7" s="91">
        <v>175176</v>
      </c>
      <c r="DS7" s="91">
        <v>8876</v>
      </c>
      <c r="DT7" s="91">
        <v>570805</v>
      </c>
      <c r="DU7" s="91">
        <v>29935</v>
      </c>
    </row>
    <row r="8" spans="1:125" x14ac:dyDescent="0.25">
      <c r="A8" s="91" t="s">
        <v>114</v>
      </c>
      <c r="B8" s="91">
        <v>64145</v>
      </c>
      <c r="C8" s="91">
        <v>2171</v>
      </c>
      <c r="D8" s="91">
        <v>233019</v>
      </c>
      <c r="E8" s="91">
        <v>9019</v>
      </c>
      <c r="F8" s="91">
        <v>648</v>
      </c>
      <c r="G8" s="91">
        <v>4425</v>
      </c>
      <c r="H8" s="91">
        <v>4275</v>
      </c>
      <c r="I8" s="91">
        <v>19795</v>
      </c>
      <c r="J8" s="91"/>
      <c r="K8" s="91"/>
      <c r="L8" s="91"/>
      <c r="M8" s="91"/>
      <c r="N8" s="91">
        <v>538106</v>
      </c>
      <c r="O8" s="91">
        <v>11869</v>
      </c>
      <c r="P8" s="91">
        <v>2661740</v>
      </c>
      <c r="Q8" s="91">
        <v>42079</v>
      </c>
      <c r="R8" s="91">
        <v>9747</v>
      </c>
      <c r="S8" s="91">
        <v>9915</v>
      </c>
      <c r="T8" s="91">
        <v>25019</v>
      </c>
      <c r="U8" s="91">
        <v>23592</v>
      </c>
      <c r="V8" s="91">
        <v>1236958</v>
      </c>
      <c r="W8" s="91">
        <v>51542</v>
      </c>
      <c r="X8" s="91">
        <v>4369974</v>
      </c>
      <c r="Y8" s="91">
        <v>184616</v>
      </c>
      <c r="Z8" s="91"/>
      <c r="AA8" s="91"/>
      <c r="AB8" s="91"/>
      <c r="AC8" s="91"/>
      <c r="AD8" s="91">
        <v>1826</v>
      </c>
      <c r="AE8" s="91">
        <v>91.95</v>
      </c>
      <c r="AF8" s="91">
        <v>4931</v>
      </c>
      <c r="AG8" s="91">
        <v>348.14</v>
      </c>
      <c r="AH8" s="91">
        <v>16018</v>
      </c>
      <c r="AI8" s="91">
        <v>405.79</v>
      </c>
      <c r="AJ8" s="91">
        <v>56628</v>
      </c>
      <c r="AK8" s="91">
        <v>2182.13</v>
      </c>
      <c r="AL8" s="91">
        <v>19366</v>
      </c>
      <c r="AM8" s="91">
        <v>1876</v>
      </c>
      <c r="AN8" s="91">
        <v>52762</v>
      </c>
      <c r="AO8" s="91">
        <v>5584</v>
      </c>
      <c r="AP8" s="91">
        <v>90302</v>
      </c>
      <c r="AQ8" s="91">
        <v>21558</v>
      </c>
      <c r="AR8" s="91">
        <v>355382</v>
      </c>
      <c r="AS8" s="91">
        <v>68789</v>
      </c>
      <c r="AT8" s="91">
        <v>292794</v>
      </c>
      <c r="AU8" s="91">
        <v>22173</v>
      </c>
      <c r="AV8" s="91">
        <v>1044851</v>
      </c>
      <c r="AW8" s="91">
        <v>67396</v>
      </c>
      <c r="AX8" s="91">
        <v>11428</v>
      </c>
      <c r="AY8" s="91">
        <v>596.66999999999996</v>
      </c>
      <c r="AZ8" s="91">
        <v>41069</v>
      </c>
      <c r="BA8" s="91">
        <v>2243.64</v>
      </c>
      <c r="BB8" s="91">
        <v>393843</v>
      </c>
      <c r="BC8" s="91">
        <v>1695.17</v>
      </c>
      <c r="BD8" s="91">
        <v>495331</v>
      </c>
      <c r="BE8" s="91">
        <v>3043.14</v>
      </c>
      <c r="BF8" s="91">
        <v>5175</v>
      </c>
      <c r="BG8" s="91">
        <v>986.83389920000002</v>
      </c>
      <c r="BH8" s="91">
        <v>22726</v>
      </c>
      <c r="BI8" s="91">
        <v>2803.75558</v>
      </c>
      <c r="BJ8" s="91">
        <v>18051</v>
      </c>
      <c r="BK8" s="91">
        <v>2097</v>
      </c>
      <c r="BL8" s="91">
        <v>70198</v>
      </c>
      <c r="BM8" s="91">
        <v>8095</v>
      </c>
      <c r="BN8" s="91">
        <v>3108</v>
      </c>
      <c r="BO8" s="91">
        <v>3870</v>
      </c>
      <c r="BP8" s="91">
        <v>12270</v>
      </c>
      <c r="BQ8" s="91">
        <v>8811</v>
      </c>
      <c r="BR8" s="91">
        <v>729</v>
      </c>
      <c r="BS8" s="91">
        <v>6082</v>
      </c>
      <c r="BT8" s="91">
        <v>2584</v>
      </c>
      <c r="BU8" s="91">
        <v>24798</v>
      </c>
      <c r="BV8" s="91">
        <v>393</v>
      </c>
      <c r="BW8" s="91">
        <v>-28469.75</v>
      </c>
      <c r="BX8" s="91">
        <v>2069</v>
      </c>
      <c r="BY8" s="91">
        <v>300.73</v>
      </c>
      <c r="BZ8" s="91">
        <v>35237</v>
      </c>
      <c r="CA8" s="91">
        <v>2085</v>
      </c>
      <c r="CB8" s="91">
        <v>77905</v>
      </c>
      <c r="CC8" s="91">
        <v>4324</v>
      </c>
      <c r="CD8" s="91"/>
      <c r="CE8" s="91"/>
      <c r="CF8" s="91"/>
      <c r="CG8" s="91"/>
      <c r="CH8" s="91">
        <v>51916</v>
      </c>
      <c r="CI8" s="91">
        <v>10269</v>
      </c>
      <c r="CJ8" s="91">
        <v>230733</v>
      </c>
      <c r="CK8" s="91">
        <v>39276</v>
      </c>
      <c r="CL8" s="91">
        <v>27978</v>
      </c>
      <c r="CM8" s="91">
        <v>7450</v>
      </c>
      <c r="CN8" s="91">
        <v>114552</v>
      </c>
      <c r="CO8" s="91">
        <v>27131</v>
      </c>
      <c r="CP8" s="91">
        <v>15099</v>
      </c>
      <c r="CQ8" s="91">
        <v>1909</v>
      </c>
      <c r="CR8" s="91">
        <v>68704</v>
      </c>
      <c r="CS8" s="91">
        <v>5340</v>
      </c>
      <c r="CT8" s="91">
        <v>281167</v>
      </c>
      <c r="CU8" s="91">
        <v>15369.15</v>
      </c>
      <c r="CV8" s="91">
        <v>1235969</v>
      </c>
      <c r="CW8" s="91">
        <v>66342.25</v>
      </c>
      <c r="CX8" s="91">
        <v>4833</v>
      </c>
      <c r="CY8" s="91">
        <v>3901</v>
      </c>
      <c r="CZ8" s="91">
        <v>19314</v>
      </c>
      <c r="DA8" s="91">
        <v>8876</v>
      </c>
      <c r="DB8" s="91">
        <v>280967</v>
      </c>
      <c r="DC8" s="91">
        <v>6970</v>
      </c>
      <c r="DD8" s="91">
        <v>407528</v>
      </c>
      <c r="DE8" s="91">
        <v>20463</v>
      </c>
      <c r="DF8" s="91">
        <v>47752</v>
      </c>
      <c r="DG8" s="91">
        <v>4837.09</v>
      </c>
      <c r="DH8" s="91">
        <v>82299</v>
      </c>
      <c r="DI8" s="91">
        <v>12910.69</v>
      </c>
      <c r="DJ8" s="91">
        <v>36140</v>
      </c>
      <c r="DK8" s="91">
        <v>1747.01</v>
      </c>
      <c r="DL8" s="91">
        <v>145495</v>
      </c>
      <c r="DM8" s="91">
        <v>7744.23</v>
      </c>
      <c r="DN8" s="91">
        <v>17005</v>
      </c>
      <c r="DO8" s="91">
        <v>3630.16</v>
      </c>
      <c r="DP8" s="91">
        <v>55307</v>
      </c>
      <c r="DQ8" s="91">
        <v>12269.22</v>
      </c>
      <c r="DR8" s="91">
        <v>45</v>
      </c>
      <c r="DS8" s="91">
        <v>-4</v>
      </c>
      <c r="DT8" s="91">
        <v>229</v>
      </c>
      <c r="DU8" s="91">
        <v>6</v>
      </c>
    </row>
    <row r="9" spans="1:125" x14ac:dyDescent="0.25">
      <c r="A9" s="91" t="s">
        <v>115</v>
      </c>
      <c r="B9" s="91">
        <v>68203</v>
      </c>
      <c r="C9" s="91">
        <v>7843</v>
      </c>
      <c r="D9" s="91">
        <v>180445</v>
      </c>
      <c r="E9" s="91">
        <v>24248</v>
      </c>
      <c r="F9" s="91">
        <v>43106</v>
      </c>
      <c r="G9" s="91">
        <v>24613</v>
      </c>
      <c r="H9" s="91">
        <v>99859</v>
      </c>
      <c r="I9" s="91">
        <v>68064</v>
      </c>
      <c r="J9" s="91">
        <v>7743578</v>
      </c>
      <c r="K9" s="91">
        <v>92141.759999999995</v>
      </c>
      <c r="L9" s="91">
        <v>12056692</v>
      </c>
      <c r="M9" s="91">
        <v>140084.39000000001</v>
      </c>
      <c r="N9" s="91">
        <v>1775675</v>
      </c>
      <c r="O9" s="91">
        <v>138849</v>
      </c>
      <c r="P9" s="91">
        <v>6031289</v>
      </c>
      <c r="Q9" s="91">
        <v>504343</v>
      </c>
      <c r="R9" s="91">
        <v>100400</v>
      </c>
      <c r="S9" s="91">
        <v>32049</v>
      </c>
      <c r="T9" s="91">
        <v>273941</v>
      </c>
      <c r="U9" s="91">
        <v>95888</v>
      </c>
      <c r="V9" s="91">
        <v>993966</v>
      </c>
      <c r="W9" s="91">
        <v>45155</v>
      </c>
      <c r="X9" s="91">
        <v>3037752</v>
      </c>
      <c r="Y9" s="91">
        <v>156962</v>
      </c>
      <c r="Z9" s="91">
        <v>178</v>
      </c>
      <c r="AA9" s="91">
        <v>4195.47</v>
      </c>
      <c r="AB9" s="91">
        <v>442</v>
      </c>
      <c r="AC9" s="91">
        <v>13847.43</v>
      </c>
      <c r="AD9" s="91">
        <v>69357</v>
      </c>
      <c r="AE9" s="91">
        <v>5732.38</v>
      </c>
      <c r="AF9" s="91">
        <v>197762</v>
      </c>
      <c r="AG9" s="91">
        <v>23613.22</v>
      </c>
      <c r="AH9" s="91">
        <v>327206</v>
      </c>
      <c r="AI9" s="91">
        <v>48526.1</v>
      </c>
      <c r="AJ9" s="91">
        <v>942088</v>
      </c>
      <c r="AK9" s="91">
        <v>150749.89000000001</v>
      </c>
      <c r="AL9" s="91">
        <v>1336462</v>
      </c>
      <c r="AM9" s="91">
        <v>93918</v>
      </c>
      <c r="AN9" s="91">
        <v>3795522</v>
      </c>
      <c r="AO9" s="91">
        <v>279148</v>
      </c>
      <c r="AP9" s="91">
        <v>883149</v>
      </c>
      <c r="AQ9" s="91">
        <v>116756</v>
      </c>
      <c r="AR9" s="91">
        <v>3192266</v>
      </c>
      <c r="AS9" s="91">
        <v>409128</v>
      </c>
      <c r="AT9" s="91">
        <v>4322218</v>
      </c>
      <c r="AU9" s="91">
        <v>226165</v>
      </c>
      <c r="AV9" s="91">
        <v>15325314</v>
      </c>
      <c r="AW9" s="91">
        <v>857616</v>
      </c>
      <c r="AX9" s="91">
        <v>745452</v>
      </c>
      <c r="AY9" s="91">
        <v>92321.48</v>
      </c>
      <c r="AZ9" s="91">
        <v>2896855</v>
      </c>
      <c r="BA9" s="91">
        <v>388971.30699999997</v>
      </c>
      <c r="BB9" s="91">
        <v>373877</v>
      </c>
      <c r="BC9" s="91">
        <v>9358.2900000000009</v>
      </c>
      <c r="BD9" s="91">
        <v>1258743</v>
      </c>
      <c r="BE9" s="91">
        <v>27204.47</v>
      </c>
      <c r="BF9" s="91">
        <v>551982</v>
      </c>
      <c r="BG9" s="91">
        <v>31658.85569</v>
      </c>
      <c r="BH9" s="91">
        <v>1784810</v>
      </c>
      <c r="BI9" s="91">
        <v>109982.5404</v>
      </c>
      <c r="BJ9" s="91">
        <v>310425</v>
      </c>
      <c r="BK9" s="91">
        <v>40532</v>
      </c>
      <c r="BL9" s="91">
        <v>907117</v>
      </c>
      <c r="BM9" s="91">
        <v>109955</v>
      </c>
      <c r="BN9" s="91">
        <v>33606</v>
      </c>
      <c r="BO9" s="91">
        <v>9652</v>
      </c>
      <c r="BP9" s="91">
        <v>112605</v>
      </c>
      <c r="BQ9" s="91">
        <v>30332</v>
      </c>
      <c r="BR9" s="91">
        <v>77389</v>
      </c>
      <c r="BS9" s="91">
        <v>13828</v>
      </c>
      <c r="BT9" s="91">
        <v>220513</v>
      </c>
      <c r="BU9" s="91">
        <v>37541</v>
      </c>
      <c r="BV9" s="91">
        <v>1585250</v>
      </c>
      <c r="BW9" s="91">
        <v>104771.8</v>
      </c>
      <c r="BX9" s="91">
        <v>6022257</v>
      </c>
      <c r="BY9" s="91">
        <v>356562.04</v>
      </c>
      <c r="BZ9" s="91">
        <v>36469</v>
      </c>
      <c r="CA9" s="91">
        <v>972</v>
      </c>
      <c r="CB9" s="91">
        <v>117172</v>
      </c>
      <c r="CC9" s="91">
        <v>3455</v>
      </c>
      <c r="CD9" s="91">
        <v>41314</v>
      </c>
      <c r="CE9" s="91">
        <v>9164.02</v>
      </c>
      <c r="CF9" s="91">
        <v>149576</v>
      </c>
      <c r="CG9" s="91">
        <v>31282.41</v>
      </c>
      <c r="CH9" s="91">
        <v>1054487</v>
      </c>
      <c r="CI9" s="91">
        <v>79031</v>
      </c>
      <c r="CJ9" s="91">
        <v>3311477</v>
      </c>
      <c r="CK9" s="91">
        <v>314130</v>
      </c>
      <c r="CL9" s="91">
        <v>362166</v>
      </c>
      <c r="CM9" s="91">
        <v>39241</v>
      </c>
      <c r="CN9" s="91">
        <v>1120317</v>
      </c>
      <c r="CO9" s="91">
        <v>145606</v>
      </c>
      <c r="CP9" s="91">
        <v>795686</v>
      </c>
      <c r="CQ9" s="91">
        <v>127109</v>
      </c>
      <c r="CR9" s="91">
        <v>2400509</v>
      </c>
      <c r="CS9" s="91">
        <v>330502</v>
      </c>
      <c r="CT9" s="91">
        <v>126953</v>
      </c>
      <c r="CU9" s="91">
        <v>9705.6200000000008</v>
      </c>
      <c r="CV9" s="91">
        <v>379005</v>
      </c>
      <c r="CW9" s="91">
        <v>28584.43</v>
      </c>
      <c r="CX9" s="91">
        <v>84576</v>
      </c>
      <c r="CY9" s="91">
        <v>18224</v>
      </c>
      <c r="CZ9" s="91">
        <v>252362</v>
      </c>
      <c r="DA9" s="91">
        <v>85093</v>
      </c>
      <c r="DB9" s="91">
        <v>1121430</v>
      </c>
      <c r="DC9" s="91">
        <v>132021</v>
      </c>
      <c r="DD9" s="91">
        <v>3497247</v>
      </c>
      <c r="DE9" s="91">
        <v>432014</v>
      </c>
      <c r="DF9" s="91">
        <v>2416435</v>
      </c>
      <c r="DG9" s="91">
        <v>313040.45</v>
      </c>
      <c r="DH9" s="91">
        <v>5135485</v>
      </c>
      <c r="DI9" s="91">
        <v>1249662.8700000001</v>
      </c>
      <c r="DJ9" s="91">
        <v>221482</v>
      </c>
      <c r="DK9" s="91">
        <v>84857.59</v>
      </c>
      <c r="DL9" s="91">
        <v>932047</v>
      </c>
      <c r="DM9" s="91">
        <v>377611.47</v>
      </c>
      <c r="DN9" s="91">
        <v>113886</v>
      </c>
      <c r="DO9" s="91">
        <v>89118.09</v>
      </c>
      <c r="DP9" s="91">
        <v>420424</v>
      </c>
      <c r="DQ9" s="91">
        <v>310264.74</v>
      </c>
      <c r="DR9" s="91">
        <v>367836</v>
      </c>
      <c r="DS9" s="91">
        <v>30152</v>
      </c>
      <c r="DT9" s="91">
        <v>1258588</v>
      </c>
      <c r="DU9" s="91">
        <v>126640</v>
      </c>
    </row>
    <row r="10" spans="1:125" x14ac:dyDescent="0.25">
      <c r="A10" s="91" t="s">
        <v>116</v>
      </c>
      <c r="B10" s="91"/>
      <c r="C10" s="91"/>
      <c r="D10" s="91"/>
      <c r="E10" s="91"/>
      <c r="F10" s="91"/>
      <c r="G10" s="91"/>
      <c r="H10" s="91"/>
      <c r="I10" s="91"/>
      <c r="J10" s="91">
        <v>16396</v>
      </c>
      <c r="K10" s="91">
        <v>1786.98</v>
      </c>
      <c r="L10" s="91">
        <v>28637</v>
      </c>
      <c r="M10" s="91">
        <v>2004.36</v>
      </c>
      <c r="N10" s="91"/>
      <c r="O10" s="91"/>
      <c r="P10" s="91"/>
      <c r="Q10" s="91"/>
      <c r="R10" s="91"/>
      <c r="S10" s="91">
        <v>2373</v>
      </c>
      <c r="T10" s="91">
        <v>2</v>
      </c>
      <c r="U10" s="91">
        <v>6965</v>
      </c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>
        <v>75073</v>
      </c>
      <c r="BC10" s="91">
        <v>163.41999999999999</v>
      </c>
      <c r="BD10" s="91">
        <v>111871</v>
      </c>
      <c r="BE10" s="91">
        <v>254.41</v>
      </c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24"/>
      <c r="BS10" s="24"/>
      <c r="BT10" s="24"/>
      <c r="BU10" s="24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>
        <v>12</v>
      </c>
      <c r="CM10" s="91">
        <v>1</v>
      </c>
      <c r="CN10" s="91">
        <v>48</v>
      </c>
      <c r="CO10" s="91">
        <v>2</v>
      </c>
      <c r="CP10" s="91">
        <v>76</v>
      </c>
      <c r="CQ10" s="91">
        <v>1</v>
      </c>
      <c r="CR10" s="91">
        <v>128</v>
      </c>
      <c r="CS10" s="91">
        <v>2</v>
      </c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>
        <v>18</v>
      </c>
      <c r="DG10" s="91">
        <v>0.56999999999999995</v>
      </c>
      <c r="DH10" s="91">
        <v>64</v>
      </c>
      <c r="DI10" s="91">
        <v>4.6100000000000003</v>
      </c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</row>
    <row r="11" spans="1:125" x14ac:dyDescent="0.25">
      <c r="A11" s="91" t="s">
        <v>117</v>
      </c>
      <c r="B11" s="91">
        <v>515686</v>
      </c>
      <c r="C11" s="91">
        <v>18965</v>
      </c>
      <c r="D11" s="91">
        <v>1719519</v>
      </c>
      <c r="E11" s="91">
        <v>65554</v>
      </c>
      <c r="F11" s="91">
        <f>3081+4129</f>
        <v>7210</v>
      </c>
      <c r="G11" s="91">
        <f>2372+2790</f>
        <v>5162</v>
      </c>
      <c r="H11" s="91">
        <f>12004+12249</f>
        <v>24253</v>
      </c>
      <c r="I11" s="91">
        <f>4596+5797</f>
        <v>10393</v>
      </c>
      <c r="J11" s="91">
        <v>10235</v>
      </c>
      <c r="K11" s="91">
        <v>280.07</v>
      </c>
      <c r="L11" s="91">
        <v>118909</v>
      </c>
      <c r="M11" s="91">
        <v>1180.26</v>
      </c>
      <c r="N11" s="91">
        <f>788+62877+723179</f>
        <v>786844</v>
      </c>
      <c r="O11" s="91">
        <f>44+2330+54141</f>
        <v>56515</v>
      </c>
      <c r="P11" s="91">
        <f>2233+258383+2820217</f>
        <v>3080833</v>
      </c>
      <c r="Q11" s="91">
        <f>176+9225+360847</f>
        <v>370248</v>
      </c>
      <c r="R11" s="91">
        <f>39790+51627</f>
        <v>91417</v>
      </c>
      <c r="S11" s="91">
        <f>6397+4479</f>
        <v>10876</v>
      </c>
      <c r="T11" s="91">
        <f>76913+146293</f>
        <v>223206</v>
      </c>
      <c r="U11" s="91">
        <f>25638+20093</f>
        <v>45731</v>
      </c>
      <c r="V11" s="91">
        <v>33908</v>
      </c>
      <c r="W11" s="91">
        <v>7233</v>
      </c>
      <c r="X11" s="91">
        <v>146587</v>
      </c>
      <c r="Y11" s="91">
        <v>24944</v>
      </c>
      <c r="Z11" s="91">
        <v>1800</v>
      </c>
      <c r="AA11" s="91">
        <v>10773.02</v>
      </c>
      <c r="AB11" s="91">
        <v>2948</v>
      </c>
      <c r="AC11" s="91">
        <v>34700.370000000003</v>
      </c>
      <c r="AD11" s="91">
        <v>13298</v>
      </c>
      <c r="AE11" s="91">
        <v>1700.78</v>
      </c>
      <c r="AF11" s="91">
        <v>40542</v>
      </c>
      <c r="AG11" s="91">
        <v>7850.93</v>
      </c>
      <c r="AH11" s="91">
        <v>114865</v>
      </c>
      <c r="AI11" s="91">
        <v>45350.03</v>
      </c>
      <c r="AJ11" s="91">
        <v>470274</v>
      </c>
      <c r="AK11" s="91">
        <v>159641.59</v>
      </c>
      <c r="AL11" s="91">
        <v>403533</v>
      </c>
      <c r="AM11" s="91">
        <v>26072</v>
      </c>
      <c r="AN11" s="91">
        <v>1646201</v>
      </c>
      <c r="AO11" s="91">
        <v>94632</v>
      </c>
      <c r="AP11" s="91">
        <f>155556+65143</f>
        <v>220699</v>
      </c>
      <c r="AQ11" s="91">
        <f>11419+101278</f>
        <v>112697</v>
      </c>
      <c r="AR11" s="91">
        <f>672107+230229</f>
        <v>902336</v>
      </c>
      <c r="AS11" s="91">
        <f>39622+347517</f>
        <v>387139</v>
      </c>
      <c r="AT11" s="91">
        <f>349217+233356</f>
        <v>582573</v>
      </c>
      <c r="AU11" s="91">
        <f>10877+63225</f>
        <v>74102</v>
      </c>
      <c r="AV11" s="91">
        <f>972401+977499</f>
        <v>1949900</v>
      </c>
      <c r="AW11" s="91">
        <f>37701+346172</f>
        <v>383873</v>
      </c>
      <c r="AX11" s="91">
        <v>134544</v>
      </c>
      <c r="AY11" s="91">
        <v>55750.89</v>
      </c>
      <c r="AZ11" s="91">
        <v>436060</v>
      </c>
      <c r="BA11" s="91">
        <v>217706.33</v>
      </c>
      <c r="BB11" s="91">
        <f>360427+842</f>
        <v>361269</v>
      </c>
      <c r="BC11" s="91">
        <f>72.98+8328.8</f>
        <v>8401.7799999999988</v>
      </c>
      <c r="BD11" s="91">
        <f>2525+1392379</f>
        <v>1394904</v>
      </c>
      <c r="BE11" s="91">
        <f>225.07+25283.37</f>
        <v>25508.44</v>
      </c>
      <c r="BF11" s="91">
        <v>26774</v>
      </c>
      <c r="BG11" s="91">
        <v>2298.0398209999998</v>
      </c>
      <c r="BH11" s="91">
        <v>94856</v>
      </c>
      <c r="BI11" s="91">
        <v>8985.3511849999995</v>
      </c>
      <c r="BJ11" s="91">
        <f>21+36112</f>
        <v>36133</v>
      </c>
      <c r="BK11" s="91">
        <v>4997</v>
      </c>
      <c r="BL11" s="91">
        <f>199+118337</f>
        <v>118536</v>
      </c>
      <c r="BM11" s="91">
        <f>7+11943</f>
        <v>11950</v>
      </c>
      <c r="BN11" s="91">
        <v>5568</v>
      </c>
      <c r="BO11" s="91">
        <v>3046</v>
      </c>
      <c r="BP11" s="91">
        <v>22438</v>
      </c>
      <c r="BQ11" s="91">
        <v>16957</v>
      </c>
      <c r="BR11" s="120">
        <f>58996+2119</f>
        <v>61115</v>
      </c>
      <c r="BS11" s="81">
        <f>14480+496</f>
        <v>14976</v>
      </c>
      <c r="BT11" s="81">
        <f>209991+10866</f>
        <v>220857</v>
      </c>
      <c r="BU11" s="81">
        <f>51122+1646</f>
        <v>52768</v>
      </c>
      <c r="BV11" s="91"/>
      <c r="BW11" s="91"/>
      <c r="BX11" s="91"/>
      <c r="BY11" s="91"/>
      <c r="BZ11" s="91">
        <f>14009+63722</f>
        <v>77731</v>
      </c>
      <c r="CA11" s="91">
        <f>787+201</f>
        <v>988</v>
      </c>
      <c r="CB11" s="91">
        <f>41859+136897</f>
        <v>178756</v>
      </c>
      <c r="CC11" s="91">
        <f>1415+873</f>
        <v>2288</v>
      </c>
      <c r="CD11" s="91">
        <f>14+10+3705</f>
        <v>3729</v>
      </c>
      <c r="CE11" s="91">
        <f>1.22+0.81+541.13</f>
        <v>543.16</v>
      </c>
      <c r="CF11" s="91">
        <f>53+62+20267</f>
        <v>20382</v>
      </c>
      <c r="CG11" s="91">
        <f>3.63+5.93+3010.98</f>
        <v>3020.54</v>
      </c>
      <c r="CH11" s="91">
        <f>52153+105154</f>
        <v>157307</v>
      </c>
      <c r="CI11" s="91">
        <f>1481+71957</f>
        <v>73438</v>
      </c>
      <c r="CJ11" s="91">
        <f>251092+329827</f>
        <v>580919</v>
      </c>
      <c r="CK11" s="91">
        <f>6266+392703</f>
        <v>398969</v>
      </c>
      <c r="CL11" s="91">
        <f>4007+58055</f>
        <v>62062</v>
      </c>
      <c r="CM11" s="91">
        <f>43+5844</f>
        <v>5887</v>
      </c>
      <c r="CN11" s="91">
        <f>19633+193750</f>
        <v>213383</v>
      </c>
      <c r="CO11" s="91">
        <f>221+21391</f>
        <v>21612</v>
      </c>
      <c r="CP11" s="91">
        <f>952+3991938</f>
        <v>3992890</v>
      </c>
      <c r="CQ11" s="91">
        <f>158+91702</f>
        <v>91860</v>
      </c>
      <c r="CR11" s="91">
        <f>99865+9380208</f>
        <v>9480073</v>
      </c>
      <c r="CS11" s="91">
        <f>2321+283167</f>
        <v>285488</v>
      </c>
      <c r="CT11" s="91">
        <v>35525</v>
      </c>
      <c r="CU11" s="91">
        <v>1851.16</v>
      </c>
      <c r="CV11" s="91">
        <v>142476</v>
      </c>
      <c r="CW11" s="91">
        <v>7251.11</v>
      </c>
      <c r="CX11" s="91">
        <v>172352</v>
      </c>
      <c r="CY11" s="91">
        <v>29687</v>
      </c>
      <c r="CZ11" s="91">
        <v>601124</v>
      </c>
      <c r="DA11" s="91">
        <v>98312</v>
      </c>
      <c r="DB11" s="91">
        <v>403909</v>
      </c>
      <c r="DC11" s="91">
        <v>28211</v>
      </c>
      <c r="DD11" s="91">
        <v>1470477</v>
      </c>
      <c r="DE11" s="91">
        <v>106615</v>
      </c>
      <c r="DF11" s="91">
        <v>1000000</v>
      </c>
      <c r="DG11" s="91">
        <v>181534.6</v>
      </c>
      <c r="DH11" s="91">
        <v>10320983</v>
      </c>
      <c r="DI11" s="91">
        <v>1001371.17</v>
      </c>
      <c r="DJ11" s="91">
        <v>136238</v>
      </c>
      <c r="DK11" s="91">
        <v>73861.05</v>
      </c>
      <c r="DL11" s="91">
        <v>478878</v>
      </c>
      <c r="DM11" s="91">
        <v>409957.78</v>
      </c>
      <c r="DN11" s="91">
        <f>898+6871+141794</f>
        <v>149563</v>
      </c>
      <c r="DO11" s="91">
        <f>7477.14+349.92+102114.44</f>
        <v>109941.5</v>
      </c>
      <c r="DP11" s="91">
        <f>5019+34080+488476</f>
        <v>527575</v>
      </c>
      <c r="DQ11" s="91">
        <f>14834.71+1473.71+393752.486</f>
        <v>410060.90599999996</v>
      </c>
      <c r="DR11" s="91">
        <f>548+266659</f>
        <v>267207</v>
      </c>
      <c r="DS11" s="91">
        <f>93+47607</f>
        <v>47700</v>
      </c>
      <c r="DT11" s="91">
        <f>1313+477031</f>
        <v>478344</v>
      </c>
      <c r="DU11" s="91">
        <f>118+170592</f>
        <v>170710</v>
      </c>
    </row>
    <row r="12" spans="1:125" x14ac:dyDescent="0.25">
      <c r="A12" s="91" t="s">
        <v>31</v>
      </c>
      <c r="B12" s="91">
        <f>B13-B11-B10-B9-B8-B7-B6</f>
        <v>0</v>
      </c>
      <c r="C12" s="91">
        <f t="shared" ref="C12:BN12" si="0">C13-C11-C10-C9-C8-C7-C6</f>
        <v>0</v>
      </c>
      <c r="D12" s="91">
        <f t="shared" si="0"/>
        <v>0</v>
      </c>
      <c r="E12" s="91">
        <f t="shared" si="0"/>
        <v>0</v>
      </c>
      <c r="F12" s="91">
        <f t="shared" si="0"/>
        <v>-5823</v>
      </c>
      <c r="G12" s="91">
        <f t="shared" si="0"/>
        <v>-373</v>
      </c>
      <c r="H12" s="91">
        <f t="shared" si="0"/>
        <v>21178</v>
      </c>
      <c r="I12" s="91">
        <f t="shared" si="0"/>
        <v>2005</v>
      </c>
      <c r="J12" s="91">
        <f t="shared" si="0"/>
        <v>9943480</v>
      </c>
      <c r="K12" s="91">
        <f t="shared" si="0"/>
        <v>312593.10000000003</v>
      </c>
      <c r="L12" s="91">
        <f t="shared" si="0"/>
        <v>35314617</v>
      </c>
      <c r="M12" s="91">
        <f t="shared" si="0"/>
        <v>1250744.49</v>
      </c>
      <c r="N12" s="91">
        <f t="shared" si="0"/>
        <v>582785</v>
      </c>
      <c r="O12" s="91">
        <f t="shared" si="0"/>
        <v>26276</v>
      </c>
      <c r="P12" s="91">
        <f t="shared" si="0"/>
        <v>2282264</v>
      </c>
      <c r="Q12" s="91">
        <f t="shared" si="0"/>
        <v>126874</v>
      </c>
      <c r="R12" s="91">
        <f t="shared" si="0"/>
        <v>65650</v>
      </c>
      <c r="S12" s="91">
        <f t="shared" si="0"/>
        <v>3555</v>
      </c>
      <c r="T12" s="91">
        <f t="shared" si="0"/>
        <v>157066</v>
      </c>
      <c r="U12" s="91">
        <f t="shared" si="0"/>
        <v>15721</v>
      </c>
      <c r="V12" s="91">
        <f t="shared" si="0"/>
        <v>123249</v>
      </c>
      <c r="W12" s="91">
        <f t="shared" si="0"/>
        <v>2152</v>
      </c>
      <c r="X12" s="91">
        <f t="shared" si="0"/>
        <v>401706</v>
      </c>
      <c r="Y12" s="91">
        <f t="shared" si="0"/>
        <v>8135</v>
      </c>
      <c r="Z12" s="91">
        <f t="shared" si="0"/>
        <v>0</v>
      </c>
      <c r="AA12" s="91">
        <f t="shared" si="0"/>
        <v>-0.49000000000069122</v>
      </c>
      <c r="AB12" s="91">
        <f t="shared" si="0"/>
        <v>0</v>
      </c>
      <c r="AC12" s="91">
        <f t="shared" si="0"/>
        <v>-5.5297294521139406E-12</v>
      </c>
      <c r="AD12" s="91">
        <f t="shared" si="0"/>
        <v>10831</v>
      </c>
      <c r="AE12" s="91">
        <f t="shared" si="0"/>
        <v>529.09000000000015</v>
      </c>
      <c r="AF12" s="91">
        <f t="shared" si="0"/>
        <v>47896</v>
      </c>
      <c r="AG12" s="91">
        <f t="shared" si="0"/>
        <v>2438.2099999999982</v>
      </c>
      <c r="AH12" s="91">
        <f t="shared" si="0"/>
        <v>3638</v>
      </c>
      <c r="AI12" s="91">
        <f t="shared" si="0"/>
        <v>727.31000000000131</v>
      </c>
      <c r="AJ12" s="91">
        <f t="shared" si="0"/>
        <v>232083</v>
      </c>
      <c r="AK12" s="91">
        <f t="shared" si="0"/>
        <v>15643.97999999996</v>
      </c>
      <c r="AL12" s="91">
        <f t="shared" si="0"/>
        <v>539152</v>
      </c>
      <c r="AM12" s="91">
        <f t="shared" si="0"/>
        <v>22044</v>
      </c>
      <c r="AN12" s="91">
        <f t="shared" si="0"/>
        <v>1990805</v>
      </c>
      <c r="AO12" s="91">
        <f t="shared" si="0"/>
        <v>68052</v>
      </c>
      <c r="AP12" s="91">
        <f t="shared" si="0"/>
        <v>292511</v>
      </c>
      <c r="AQ12" s="91">
        <f t="shared" si="0"/>
        <v>16184</v>
      </c>
      <c r="AR12" s="91">
        <f t="shared" si="0"/>
        <v>1091476</v>
      </c>
      <c r="AS12" s="91">
        <f t="shared" si="0"/>
        <v>58647</v>
      </c>
      <c r="AT12" s="91">
        <f t="shared" si="0"/>
        <v>2166682</v>
      </c>
      <c r="AU12" s="91">
        <f t="shared" si="0"/>
        <v>44008</v>
      </c>
      <c r="AV12" s="91">
        <f t="shared" si="0"/>
        <v>7711030</v>
      </c>
      <c r="AW12" s="91">
        <f t="shared" si="0"/>
        <v>147302</v>
      </c>
      <c r="AX12" s="91">
        <f t="shared" si="0"/>
        <v>904320</v>
      </c>
      <c r="AY12" s="91">
        <f t="shared" si="0"/>
        <v>25271.19999999999</v>
      </c>
      <c r="AZ12" s="91">
        <f t="shared" si="0"/>
        <v>3469241</v>
      </c>
      <c r="BA12" s="91">
        <f t="shared" si="0"/>
        <v>89113.283000000112</v>
      </c>
      <c r="BB12" s="91">
        <f t="shared" si="0"/>
        <v>11286</v>
      </c>
      <c r="BC12" s="91">
        <f t="shared" si="0"/>
        <v>1109.1199999999988</v>
      </c>
      <c r="BD12" s="91">
        <f t="shared" si="0"/>
        <v>87757</v>
      </c>
      <c r="BE12" s="91">
        <f t="shared" si="0"/>
        <v>4518.3899999999903</v>
      </c>
      <c r="BF12" s="91">
        <f t="shared" si="0"/>
        <v>194267</v>
      </c>
      <c r="BG12" s="91">
        <f t="shared" si="0"/>
        <v>4462.3127767999986</v>
      </c>
      <c r="BH12" s="91">
        <f t="shared" si="0"/>
        <v>697456</v>
      </c>
      <c r="BI12" s="91">
        <f t="shared" si="0"/>
        <v>16798.484911999993</v>
      </c>
      <c r="BJ12" s="91">
        <f t="shared" si="0"/>
        <v>122486</v>
      </c>
      <c r="BK12" s="91">
        <f t="shared" si="0"/>
        <v>10293</v>
      </c>
      <c r="BL12" s="91">
        <f t="shared" si="0"/>
        <v>502699</v>
      </c>
      <c r="BM12" s="91">
        <f t="shared" si="0"/>
        <v>38558</v>
      </c>
      <c r="BN12" s="91">
        <f t="shared" si="0"/>
        <v>923</v>
      </c>
      <c r="BO12" s="91">
        <f t="shared" ref="BO12:CW12" si="1">BO13-BO11-BO10-BO9-BO8-BO7-BO6</f>
        <v>223</v>
      </c>
      <c r="BP12" s="91">
        <f t="shared" si="1"/>
        <v>6975</v>
      </c>
      <c r="BQ12" s="91">
        <f t="shared" si="1"/>
        <v>1340</v>
      </c>
      <c r="BR12" s="24">
        <f t="shared" si="1"/>
        <v>4027</v>
      </c>
      <c r="BS12" s="24">
        <f t="shared" si="1"/>
        <v>951</v>
      </c>
      <c r="BT12" s="24">
        <f t="shared" si="1"/>
        <v>70987</v>
      </c>
      <c r="BU12" s="24">
        <f t="shared" si="1"/>
        <v>8861</v>
      </c>
      <c r="BV12" s="91">
        <f t="shared" si="1"/>
        <v>80855</v>
      </c>
      <c r="BW12" s="91">
        <f t="shared" si="1"/>
        <v>68062.669999999984</v>
      </c>
      <c r="BX12" s="91">
        <f t="shared" si="1"/>
        <v>419776</v>
      </c>
      <c r="BY12" s="91">
        <f t="shared" si="1"/>
        <v>363885.1399999999</v>
      </c>
      <c r="BZ12" s="91">
        <f t="shared" si="1"/>
        <v>534</v>
      </c>
      <c r="CA12" s="91">
        <f t="shared" si="1"/>
        <v>21</v>
      </c>
      <c r="CB12" s="91">
        <f t="shared" si="1"/>
        <v>15974</v>
      </c>
      <c r="CC12" s="91">
        <f t="shared" si="1"/>
        <v>590</v>
      </c>
      <c r="CD12" s="91">
        <f t="shared" si="1"/>
        <v>3443</v>
      </c>
      <c r="CE12" s="91">
        <f t="shared" si="1"/>
        <v>394.4099999999998</v>
      </c>
      <c r="CF12" s="91">
        <f t="shared" si="1"/>
        <v>20660</v>
      </c>
      <c r="CG12" s="91">
        <f t="shared" si="1"/>
        <v>2418.1699999999973</v>
      </c>
      <c r="CH12" s="91">
        <f t="shared" si="1"/>
        <v>348937</v>
      </c>
      <c r="CI12" s="91">
        <f t="shared" si="1"/>
        <v>19706</v>
      </c>
      <c r="CJ12" s="91">
        <f t="shared" si="1"/>
        <v>1173870</v>
      </c>
      <c r="CK12" s="91">
        <f t="shared" si="1"/>
        <v>59393</v>
      </c>
      <c r="CL12" s="91">
        <f>CL13-CL11-CL10-CL9-CL8-CL7-CL6</f>
        <v>227802</v>
      </c>
      <c r="CM12" s="91">
        <f t="shared" si="1"/>
        <v>17047</v>
      </c>
      <c r="CN12" s="91">
        <f t="shared" si="1"/>
        <v>638675</v>
      </c>
      <c r="CO12" s="91">
        <f t="shared" si="1"/>
        <v>52430</v>
      </c>
      <c r="CP12" s="91">
        <f t="shared" si="1"/>
        <v>116413</v>
      </c>
      <c r="CQ12" s="91">
        <f t="shared" si="1"/>
        <v>5822</v>
      </c>
      <c r="CR12" s="91">
        <f t="shared" si="1"/>
        <v>383161</v>
      </c>
      <c r="CS12" s="91">
        <f t="shared" si="1"/>
        <v>24121</v>
      </c>
      <c r="CT12" s="91">
        <f t="shared" si="1"/>
        <v>537012</v>
      </c>
      <c r="CU12" s="91">
        <f t="shared" si="1"/>
        <v>17658.429999999989</v>
      </c>
      <c r="CV12" s="91">
        <f t="shared" si="1"/>
        <v>2063141</v>
      </c>
      <c r="CW12" s="91">
        <f t="shared" si="1"/>
        <v>59747.750000000015</v>
      </c>
      <c r="CX12" s="91">
        <f t="shared" ref="CX12:DR12" si="2">CX13-CX11-CX10-CX9-CX8-CX7-CX6</f>
        <v>5171</v>
      </c>
      <c r="CY12" s="91">
        <f t="shared" si="2"/>
        <v>804</v>
      </c>
      <c r="CZ12" s="91">
        <f t="shared" si="2"/>
        <v>49473</v>
      </c>
      <c r="DA12" s="91">
        <f t="shared" si="2"/>
        <v>8412</v>
      </c>
      <c r="DB12" s="91">
        <f t="shared" si="2"/>
        <v>350905</v>
      </c>
      <c r="DC12" s="91">
        <f t="shared" si="2"/>
        <v>34551</v>
      </c>
      <c r="DD12" s="91">
        <f t="shared" si="2"/>
        <v>1149852</v>
      </c>
      <c r="DE12" s="91">
        <f t="shared" si="2"/>
        <v>102180</v>
      </c>
      <c r="DF12" s="91">
        <f t="shared" si="2"/>
        <v>134554</v>
      </c>
      <c r="DG12" s="91">
        <f t="shared" si="2"/>
        <v>2855.2069999999949</v>
      </c>
      <c r="DH12" s="91">
        <f t="shared" si="2"/>
        <v>279227</v>
      </c>
      <c r="DI12" s="91">
        <f t="shared" si="2"/>
        <v>10861.056000000099</v>
      </c>
      <c r="DJ12" s="91">
        <f t="shared" si="2"/>
        <v>145859</v>
      </c>
      <c r="DK12" s="91">
        <f t="shared" si="2"/>
        <v>16836.539999999979</v>
      </c>
      <c r="DL12" s="91">
        <f t="shared" si="2"/>
        <v>596095</v>
      </c>
      <c r="DM12" s="91">
        <f t="shared" si="2"/>
        <v>52711.910000000033</v>
      </c>
      <c r="DN12" s="91">
        <f t="shared" si="2"/>
        <v>183433</v>
      </c>
      <c r="DO12" s="91">
        <f t="shared" si="2"/>
        <v>61682.540000000037</v>
      </c>
      <c r="DP12" s="91">
        <f t="shared" si="2"/>
        <v>791936</v>
      </c>
      <c r="DQ12" s="91">
        <f t="shared" si="2"/>
        <v>84603.459999999963</v>
      </c>
      <c r="DR12" s="91">
        <f t="shared" si="2"/>
        <v>60074</v>
      </c>
      <c r="DS12" s="91">
        <f t="shared" ref="DS12:DU12" si="3">DS13-DS11-DS10-DS9-DS8-DS7-DS6</f>
        <v>4994</v>
      </c>
      <c r="DT12" s="91">
        <f t="shared" si="3"/>
        <v>168355</v>
      </c>
      <c r="DU12" s="91">
        <f t="shared" si="3"/>
        <v>11646</v>
      </c>
    </row>
    <row r="13" spans="1:125" s="7" customFormat="1" x14ac:dyDescent="0.25">
      <c r="A13" s="10" t="s">
        <v>118</v>
      </c>
      <c r="B13" s="10">
        <v>648034</v>
      </c>
      <c r="C13" s="10">
        <v>28979</v>
      </c>
      <c r="D13" s="10">
        <v>2132983</v>
      </c>
      <c r="E13" s="10">
        <v>98821</v>
      </c>
      <c r="F13" s="10">
        <v>171628</v>
      </c>
      <c r="G13" s="10">
        <v>55681</v>
      </c>
      <c r="H13" s="10">
        <v>602462</v>
      </c>
      <c r="I13" s="10">
        <v>172667</v>
      </c>
      <c r="J13" s="10">
        <v>17714268</v>
      </c>
      <c r="K13" s="10">
        <v>406809.21</v>
      </c>
      <c r="L13" s="10">
        <v>47519434</v>
      </c>
      <c r="M13" s="10">
        <v>1394020.8</v>
      </c>
      <c r="N13" s="10">
        <v>6104719</v>
      </c>
      <c r="O13" s="10">
        <v>326891</v>
      </c>
      <c r="P13" s="10">
        <v>22263076</v>
      </c>
      <c r="Q13" s="10">
        <v>1368859</v>
      </c>
      <c r="R13" s="10">
        <v>761648</v>
      </c>
      <c r="S13" s="10">
        <v>123150</v>
      </c>
      <c r="T13" s="10">
        <v>1783636</v>
      </c>
      <c r="U13" s="10">
        <v>388091</v>
      </c>
      <c r="V13" s="10">
        <v>2992775</v>
      </c>
      <c r="W13" s="10">
        <v>138210</v>
      </c>
      <c r="X13" s="10">
        <v>9984856</v>
      </c>
      <c r="Y13" s="10">
        <v>482412</v>
      </c>
      <c r="Z13" s="10">
        <v>1978</v>
      </c>
      <c r="AA13" s="10">
        <v>14968</v>
      </c>
      <c r="AB13" s="10">
        <v>3390</v>
      </c>
      <c r="AC13" s="10">
        <v>48547.88</v>
      </c>
      <c r="AD13" s="10">
        <v>96813</v>
      </c>
      <c r="AE13" s="10">
        <v>8205.59</v>
      </c>
      <c r="AF13" s="10">
        <v>296819</v>
      </c>
      <c r="AG13" s="10">
        <v>34888.32</v>
      </c>
      <c r="AH13" s="10">
        <v>1061071</v>
      </c>
      <c r="AI13" s="10">
        <v>123197.03</v>
      </c>
      <c r="AJ13" s="10">
        <v>3522212</v>
      </c>
      <c r="AK13" s="10">
        <v>413798.23</v>
      </c>
      <c r="AL13" s="10">
        <v>2384495</v>
      </c>
      <c r="AM13" s="10">
        <v>150376</v>
      </c>
      <c r="AN13" s="10">
        <v>7759429</v>
      </c>
      <c r="AO13" s="10">
        <v>467394</v>
      </c>
      <c r="AP13" s="10">
        <v>2263025</v>
      </c>
      <c r="AQ13" s="10">
        <v>395043</v>
      </c>
      <c r="AR13" s="10">
        <v>8642969</v>
      </c>
      <c r="AS13" s="10">
        <v>1349755</v>
      </c>
      <c r="AT13" s="10">
        <v>8120860</v>
      </c>
      <c r="AU13" s="10">
        <v>466565</v>
      </c>
      <c r="AV13" s="10">
        <v>29310084</v>
      </c>
      <c r="AW13" s="10">
        <v>1797687</v>
      </c>
      <c r="AX13" s="10">
        <v>2626089</v>
      </c>
      <c r="AY13" s="10">
        <v>213842.44</v>
      </c>
      <c r="AZ13" s="10">
        <v>9711260</v>
      </c>
      <c r="BA13" s="10">
        <v>845290.93</v>
      </c>
      <c r="BB13" s="10">
        <v>1240097</v>
      </c>
      <c r="BC13" s="10">
        <v>24191.599999999999</v>
      </c>
      <c r="BD13" s="10">
        <v>3453448</v>
      </c>
      <c r="BE13" s="10">
        <v>74246.81</v>
      </c>
      <c r="BF13" s="10">
        <v>809520</v>
      </c>
      <c r="BG13" s="10">
        <v>43508.703549999998</v>
      </c>
      <c r="BH13" s="10">
        <v>2722912</v>
      </c>
      <c r="BI13" s="10">
        <v>150644.8885</v>
      </c>
      <c r="BJ13" s="10">
        <v>503948</v>
      </c>
      <c r="BK13" s="10">
        <v>59825</v>
      </c>
      <c r="BL13" s="10">
        <v>1667670</v>
      </c>
      <c r="BM13" s="10">
        <v>175717</v>
      </c>
      <c r="BN13" s="10">
        <v>95374</v>
      </c>
      <c r="BO13" s="10">
        <v>29610</v>
      </c>
      <c r="BP13" s="10">
        <v>332938</v>
      </c>
      <c r="BQ13" s="10">
        <v>98618</v>
      </c>
      <c r="BR13" s="10">
        <v>383772</v>
      </c>
      <c r="BS13" s="10">
        <v>89237</v>
      </c>
      <c r="BT13" s="10">
        <v>1266526</v>
      </c>
      <c r="BU13" s="10">
        <v>280997</v>
      </c>
      <c r="BV13" s="10">
        <v>3459643</v>
      </c>
      <c r="BW13" s="10">
        <v>299287.17</v>
      </c>
      <c r="BX13" s="10">
        <v>13389801</v>
      </c>
      <c r="BY13" s="10">
        <v>1302573.1499999999</v>
      </c>
      <c r="BZ13" s="10">
        <v>149971</v>
      </c>
      <c r="CA13" s="10">
        <v>4066</v>
      </c>
      <c r="CB13" s="10">
        <v>389807</v>
      </c>
      <c r="CC13" s="10">
        <v>10657</v>
      </c>
      <c r="CD13" s="10">
        <v>49524</v>
      </c>
      <c r="CE13" s="10">
        <v>10424.92</v>
      </c>
      <c r="CF13" s="10">
        <v>194577</v>
      </c>
      <c r="CG13" s="10">
        <v>37573.74</v>
      </c>
      <c r="CH13" s="10">
        <v>2117747</v>
      </c>
      <c r="CI13" s="10">
        <v>220563</v>
      </c>
      <c r="CJ13" s="10">
        <v>7179927</v>
      </c>
      <c r="CK13" s="10">
        <v>940896</v>
      </c>
      <c r="CL13" s="10">
        <v>779504</v>
      </c>
      <c r="CM13" s="10">
        <v>80141</v>
      </c>
      <c r="CN13" s="10">
        <v>2422646</v>
      </c>
      <c r="CO13" s="10">
        <v>286659</v>
      </c>
      <c r="CP13" s="10">
        <v>5794900</v>
      </c>
      <c r="CQ13" s="10">
        <v>319431</v>
      </c>
      <c r="CR13" s="10">
        <v>14900145</v>
      </c>
      <c r="CS13" s="10">
        <v>916622</v>
      </c>
      <c r="CT13" s="10">
        <v>1061391</v>
      </c>
      <c r="CU13" s="10">
        <v>48408.52</v>
      </c>
      <c r="CV13" s="10">
        <v>4125088</v>
      </c>
      <c r="CW13" s="10">
        <v>175295.05</v>
      </c>
      <c r="CX13" s="10">
        <v>2366505</v>
      </c>
      <c r="CY13" s="10">
        <v>368915</v>
      </c>
      <c r="CZ13" s="10">
        <v>7573624</v>
      </c>
      <c r="DA13" s="10">
        <v>1146347</v>
      </c>
      <c r="DB13" s="10">
        <v>2973773</v>
      </c>
      <c r="DC13" s="10">
        <v>307284</v>
      </c>
      <c r="DD13" s="10">
        <v>9137054</v>
      </c>
      <c r="DE13" s="10">
        <v>1002497</v>
      </c>
      <c r="DF13" s="10">
        <v>8022661</v>
      </c>
      <c r="DG13" s="10">
        <v>776374.73699999996</v>
      </c>
      <c r="DH13" s="10">
        <v>29609365</v>
      </c>
      <c r="DI13" s="10">
        <v>3257388.1359999999</v>
      </c>
      <c r="DJ13" s="10">
        <v>1873170</v>
      </c>
      <c r="DK13" s="10">
        <v>333708.78999999998</v>
      </c>
      <c r="DL13" s="10">
        <v>7209311</v>
      </c>
      <c r="DM13" s="10">
        <v>1371096.99</v>
      </c>
      <c r="DN13" s="10">
        <v>3550331</v>
      </c>
      <c r="DO13" s="10">
        <v>471841.76</v>
      </c>
      <c r="DP13" s="10">
        <v>12984546</v>
      </c>
      <c r="DQ13" s="10">
        <v>1572224.8859999999</v>
      </c>
      <c r="DR13" s="10">
        <v>889517</v>
      </c>
      <c r="DS13" s="10">
        <v>93906</v>
      </c>
      <c r="DT13" s="10">
        <v>2536425</v>
      </c>
      <c r="DU13" s="10">
        <v>345612</v>
      </c>
    </row>
    <row r="14" spans="1:125" x14ac:dyDescent="0.25">
      <c r="A14" s="91" t="s">
        <v>119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81"/>
      <c r="BS14" s="120"/>
      <c r="BT14" s="81"/>
      <c r="BU14" s="8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>
        <v>1</v>
      </c>
      <c r="CG14" s="91">
        <v>8.77</v>
      </c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</row>
    <row r="15" spans="1:125" s="7" customFormat="1" x14ac:dyDescent="0.25">
      <c r="A15" s="10" t="s">
        <v>120</v>
      </c>
      <c r="B15" s="10">
        <f>B13+B14</f>
        <v>648034</v>
      </c>
      <c r="C15" s="10">
        <f t="shared" ref="C15:BN15" si="4">C13+C14</f>
        <v>28979</v>
      </c>
      <c r="D15" s="10">
        <f t="shared" si="4"/>
        <v>2132983</v>
      </c>
      <c r="E15" s="10">
        <f t="shared" si="4"/>
        <v>98821</v>
      </c>
      <c r="F15" s="10">
        <f t="shared" si="4"/>
        <v>171628</v>
      </c>
      <c r="G15" s="10">
        <f t="shared" si="4"/>
        <v>55681</v>
      </c>
      <c r="H15" s="10">
        <f t="shared" si="4"/>
        <v>602462</v>
      </c>
      <c r="I15" s="10">
        <f t="shared" si="4"/>
        <v>172667</v>
      </c>
      <c r="J15" s="10">
        <f t="shared" si="4"/>
        <v>17714268</v>
      </c>
      <c r="K15" s="10">
        <f t="shared" si="4"/>
        <v>406809.21</v>
      </c>
      <c r="L15" s="10">
        <f t="shared" si="4"/>
        <v>47519434</v>
      </c>
      <c r="M15" s="10">
        <f t="shared" si="4"/>
        <v>1394020.8</v>
      </c>
      <c r="N15" s="10">
        <f t="shared" si="4"/>
        <v>6104719</v>
      </c>
      <c r="O15" s="10">
        <f t="shared" si="4"/>
        <v>326891</v>
      </c>
      <c r="P15" s="10">
        <f t="shared" si="4"/>
        <v>22263076</v>
      </c>
      <c r="Q15" s="10">
        <f t="shared" si="4"/>
        <v>1368859</v>
      </c>
      <c r="R15" s="10">
        <f t="shared" si="4"/>
        <v>761648</v>
      </c>
      <c r="S15" s="10">
        <f t="shared" si="4"/>
        <v>123150</v>
      </c>
      <c r="T15" s="10">
        <f t="shared" si="4"/>
        <v>1783636</v>
      </c>
      <c r="U15" s="10">
        <f t="shared" si="4"/>
        <v>388091</v>
      </c>
      <c r="V15" s="10">
        <f t="shared" si="4"/>
        <v>2992775</v>
      </c>
      <c r="W15" s="10">
        <f t="shared" si="4"/>
        <v>138210</v>
      </c>
      <c r="X15" s="10">
        <f t="shared" si="4"/>
        <v>9984856</v>
      </c>
      <c r="Y15" s="10">
        <f t="shared" si="4"/>
        <v>482412</v>
      </c>
      <c r="Z15" s="10">
        <f t="shared" si="4"/>
        <v>1978</v>
      </c>
      <c r="AA15" s="10">
        <f t="shared" si="4"/>
        <v>14968</v>
      </c>
      <c r="AB15" s="10">
        <f t="shared" si="4"/>
        <v>3390</v>
      </c>
      <c r="AC15" s="10">
        <f t="shared" si="4"/>
        <v>48547.88</v>
      </c>
      <c r="AD15" s="10">
        <f t="shared" si="4"/>
        <v>96813</v>
      </c>
      <c r="AE15" s="10">
        <f t="shared" si="4"/>
        <v>8205.59</v>
      </c>
      <c r="AF15" s="10">
        <f t="shared" si="4"/>
        <v>296819</v>
      </c>
      <c r="AG15" s="10">
        <f t="shared" si="4"/>
        <v>34888.32</v>
      </c>
      <c r="AH15" s="10">
        <f t="shared" si="4"/>
        <v>1061071</v>
      </c>
      <c r="AI15" s="10">
        <f t="shared" si="4"/>
        <v>123197.03</v>
      </c>
      <c r="AJ15" s="10">
        <f t="shared" si="4"/>
        <v>3522212</v>
      </c>
      <c r="AK15" s="10">
        <f t="shared" si="4"/>
        <v>413798.23</v>
      </c>
      <c r="AL15" s="10">
        <f t="shared" si="4"/>
        <v>2384495</v>
      </c>
      <c r="AM15" s="10">
        <f t="shared" si="4"/>
        <v>150376</v>
      </c>
      <c r="AN15" s="10">
        <f t="shared" si="4"/>
        <v>7759429</v>
      </c>
      <c r="AO15" s="10">
        <f t="shared" si="4"/>
        <v>467394</v>
      </c>
      <c r="AP15" s="10">
        <f t="shared" si="4"/>
        <v>2263025</v>
      </c>
      <c r="AQ15" s="10">
        <f t="shared" si="4"/>
        <v>395043</v>
      </c>
      <c r="AR15" s="10">
        <f t="shared" si="4"/>
        <v>8642969</v>
      </c>
      <c r="AS15" s="10">
        <f t="shared" si="4"/>
        <v>1349755</v>
      </c>
      <c r="AT15" s="10">
        <f t="shared" si="4"/>
        <v>8120860</v>
      </c>
      <c r="AU15" s="10">
        <f t="shared" si="4"/>
        <v>466565</v>
      </c>
      <c r="AV15" s="10">
        <f t="shared" si="4"/>
        <v>29310084</v>
      </c>
      <c r="AW15" s="10">
        <f t="shared" si="4"/>
        <v>1797687</v>
      </c>
      <c r="AX15" s="10">
        <f t="shared" si="4"/>
        <v>2626089</v>
      </c>
      <c r="AY15" s="10">
        <f t="shared" si="4"/>
        <v>213842.44</v>
      </c>
      <c r="AZ15" s="10">
        <f t="shared" si="4"/>
        <v>9711260</v>
      </c>
      <c r="BA15" s="10">
        <f t="shared" si="4"/>
        <v>845290.93</v>
      </c>
      <c r="BB15" s="10">
        <f t="shared" si="4"/>
        <v>1240097</v>
      </c>
      <c r="BC15" s="10">
        <f t="shared" si="4"/>
        <v>24191.599999999999</v>
      </c>
      <c r="BD15" s="10">
        <f t="shared" si="4"/>
        <v>3453448</v>
      </c>
      <c r="BE15" s="10">
        <f t="shared" si="4"/>
        <v>74246.81</v>
      </c>
      <c r="BF15" s="10">
        <f t="shared" si="4"/>
        <v>809520</v>
      </c>
      <c r="BG15" s="10">
        <f t="shared" si="4"/>
        <v>43508.703549999998</v>
      </c>
      <c r="BH15" s="10">
        <f t="shared" si="4"/>
        <v>2722912</v>
      </c>
      <c r="BI15" s="10">
        <f t="shared" si="4"/>
        <v>150644.8885</v>
      </c>
      <c r="BJ15" s="10">
        <f t="shared" si="4"/>
        <v>503948</v>
      </c>
      <c r="BK15" s="10">
        <f t="shared" si="4"/>
        <v>59825</v>
      </c>
      <c r="BL15" s="10">
        <f t="shared" si="4"/>
        <v>1667670</v>
      </c>
      <c r="BM15" s="10">
        <f t="shared" si="4"/>
        <v>175717</v>
      </c>
      <c r="BN15" s="10">
        <f t="shared" si="4"/>
        <v>95374</v>
      </c>
      <c r="BO15" s="10">
        <f t="shared" ref="BO15:CW15" si="5">BO13+BO14</f>
        <v>29610</v>
      </c>
      <c r="BP15" s="10">
        <f t="shared" si="5"/>
        <v>332938</v>
      </c>
      <c r="BQ15" s="10">
        <f t="shared" si="5"/>
        <v>98618</v>
      </c>
      <c r="BR15" s="10">
        <f t="shared" si="5"/>
        <v>383772</v>
      </c>
      <c r="BS15" s="10">
        <f t="shared" si="5"/>
        <v>89237</v>
      </c>
      <c r="BT15" s="10">
        <f t="shared" si="5"/>
        <v>1266526</v>
      </c>
      <c r="BU15" s="10">
        <f t="shared" si="5"/>
        <v>280997</v>
      </c>
      <c r="BV15" s="10">
        <f t="shared" si="5"/>
        <v>3459643</v>
      </c>
      <c r="BW15" s="10">
        <f t="shared" si="5"/>
        <v>299287.17</v>
      </c>
      <c r="BX15" s="10">
        <f t="shared" si="5"/>
        <v>13389801</v>
      </c>
      <c r="BY15" s="10">
        <f t="shared" si="5"/>
        <v>1302573.1499999999</v>
      </c>
      <c r="BZ15" s="10">
        <f t="shared" si="5"/>
        <v>149971</v>
      </c>
      <c r="CA15" s="10">
        <f t="shared" si="5"/>
        <v>4066</v>
      </c>
      <c r="CB15" s="10">
        <f t="shared" si="5"/>
        <v>389807</v>
      </c>
      <c r="CC15" s="10">
        <f t="shared" si="5"/>
        <v>10657</v>
      </c>
      <c r="CD15" s="10">
        <f t="shared" si="5"/>
        <v>49524</v>
      </c>
      <c r="CE15" s="10">
        <f t="shared" si="5"/>
        <v>10424.92</v>
      </c>
      <c r="CF15" s="10">
        <f t="shared" si="5"/>
        <v>194578</v>
      </c>
      <c r="CG15" s="10">
        <f t="shared" si="5"/>
        <v>37582.509999999995</v>
      </c>
      <c r="CH15" s="10">
        <f t="shared" si="5"/>
        <v>2117747</v>
      </c>
      <c r="CI15" s="10">
        <f t="shared" si="5"/>
        <v>220563</v>
      </c>
      <c r="CJ15" s="10">
        <f t="shared" si="5"/>
        <v>7179927</v>
      </c>
      <c r="CK15" s="10">
        <f t="shared" si="5"/>
        <v>940896</v>
      </c>
      <c r="CL15" s="10">
        <f>CL13+CL14</f>
        <v>779504</v>
      </c>
      <c r="CM15" s="10">
        <f t="shared" si="5"/>
        <v>80141</v>
      </c>
      <c r="CN15" s="10">
        <f t="shared" si="5"/>
        <v>2422646</v>
      </c>
      <c r="CO15" s="10">
        <f t="shared" si="5"/>
        <v>286659</v>
      </c>
      <c r="CP15" s="10">
        <f t="shared" si="5"/>
        <v>5794900</v>
      </c>
      <c r="CQ15" s="10">
        <f t="shared" si="5"/>
        <v>319431</v>
      </c>
      <c r="CR15" s="10">
        <f t="shared" si="5"/>
        <v>14900145</v>
      </c>
      <c r="CS15" s="10">
        <f t="shared" si="5"/>
        <v>916622</v>
      </c>
      <c r="CT15" s="10">
        <f t="shared" si="5"/>
        <v>1061391</v>
      </c>
      <c r="CU15" s="10">
        <f t="shared" si="5"/>
        <v>48408.52</v>
      </c>
      <c r="CV15" s="10">
        <f t="shared" si="5"/>
        <v>4125088</v>
      </c>
      <c r="CW15" s="10">
        <f t="shared" si="5"/>
        <v>175295.05</v>
      </c>
      <c r="CX15" s="10">
        <f t="shared" ref="CX15:DR15" si="6">CX13+CX14</f>
        <v>2366505</v>
      </c>
      <c r="CY15" s="10">
        <f t="shared" si="6"/>
        <v>368915</v>
      </c>
      <c r="CZ15" s="10">
        <f t="shared" si="6"/>
        <v>7573624</v>
      </c>
      <c r="DA15" s="10">
        <f t="shared" si="6"/>
        <v>1146347</v>
      </c>
      <c r="DB15" s="10">
        <f t="shared" si="6"/>
        <v>2973773</v>
      </c>
      <c r="DC15" s="10">
        <f t="shared" si="6"/>
        <v>307284</v>
      </c>
      <c r="DD15" s="10">
        <f t="shared" si="6"/>
        <v>9137054</v>
      </c>
      <c r="DE15" s="10">
        <f t="shared" si="6"/>
        <v>1002497</v>
      </c>
      <c r="DF15" s="10">
        <f t="shared" si="6"/>
        <v>8022661</v>
      </c>
      <c r="DG15" s="10">
        <f t="shared" si="6"/>
        <v>776374.73699999996</v>
      </c>
      <c r="DH15" s="10">
        <f t="shared" si="6"/>
        <v>29609365</v>
      </c>
      <c r="DI15" s="10">
        <f t="shared" si="6"/>
        <v>3257388.1359999999</v>
      </c>
      <c r="DJ15" s="10">
        <f t="shared" si="6"/>
        <v>1873170</v>
      </c>
      <c r="DK15" s="10">
        <f t="shared" si="6"/>
        <v>333708.78999999998</v>
      </c>
      <c r="DL15" s="10">
        <f t="shared" si="6"/>
        <v>7209311</v>
      </c>
      <c r="DM15" s="10">
        <f t="shared" si="6"/>
        <v>1371096.99</v>
      </c>
      <c r="DN15" s="10">
        <f t="shared" si="6"/>
        <v>3550331</v>
      </c>
      <c r="DO15" s="10">
        <f t="shared" si="6"/>
        <v>471841.76</v>
      </c>
      <c r="DP15" s="10">
        <f t="shared" si="6"/>
        <v>12984546</v>
      </c>
      <c r="DQ15" s="10">
        <f t="shared" si="6"/>
        <v>1572224.8859999999</v>
      </c>
      <c r="DR15" s="10">
        <f t="shared" si="6"/>
        <v>889517</v>
      </c>
      <c r="DS15" s="10">
        <f t="shared" ref="DS15:DU15" si="7">DS13+DS14</f>
        <v>93906</v>
      </c>
      <c r="DT15" s="10">
        <f t="shared" si="7"/>
        <v>2536425</v>
      </c>
      <c r="DU15" s="10">
        <f t="shared" si="7"/>
        <v>345612</v>
      </c>
    </row>
    <row r="16" spans="1:125" x14ac:dyDescent="0.25">
      <c r="BR16" s="22"/>
      <c r="BS16" s="22"/>
      <c r="BT16" s="22"/>
      <c r="BU16" s="22"/>
    </row>
    <row r="17" spans="12:73" x14ac:dyDescent="0.25">
      <c r="BR17" s="22"/>
      <c r="BS17" s="22"/>
      <c r="BT17" s="22"/>
      <c r="BU17" s="22"/>
    </row>
    <row r="18" spans="12:73" x14ac:dyDescent="0.25">
      <c r="L18" s="71"/>
      <c r="AP18" s="71"/>
    </row>
    <row r="19" spans="12:73" x14ac:dyDescent="0.25">
      <c r="L19" s="71"/>
      <c r="AM19" s="71"/>
      <c r="AY19" s="71"/>
    </row>
    <row r="20" spans="12:73" x14ac:dyDescent="0.25">
      <c r="AM20" s="71"/>
    </row>
    <row r="21" spans="12:73" x14ac:dyDescent="0.25">
      <c r="AP21" s="71"/>
    </row>
  </sheetData>
  <mergeCells count="93">
    <mergeCell ref="BZ4:CA4"/>
    <mergeCell ref="CB4:CC4"/>
    <mergeCell ref="CD4:CE4"/>
    <mergeCell ref="CF4:CG4"/>
    <mergeCell ref="CH4:CI4"/>
    <mergeCell ref="CJ4:CK4"/>
    <mergeCell ref="CP4:CQ4"/>
    <mergeCell ref="CR4:CS4"/>
    <mergeCell ref="CT4:CU4"/>
    <mergeCell ref="CV4:CW4"/>
    <mergeCell ref="BV4:BW4"/>
    <mergeCell ref="BX4:BY4"/>
    <mergeCell ref="BF4:BG4"/>
    <mergeCell ref="BH4:BI4"/>
    <mergeCell ref="BJ4:BK4"/>
    <mergeCell ref="BL4:BM4"/>
    <mergeCell ref="BN4:BO4"/>
    <mergeCell ref="BR4:BS4"/>
    <mergeCell ref="BT4:BU4"/>
    <mergeCell ref="N4:O4"/>
    <mergeCell ref="P4:Q4"/>
    <mergeCell ref="B4:C4"/>
    <mergeCell ref="D4:E4"/>
    <mergeCell ref="F4:G4"/>
    <mergeCell ref="H4:I4"/>
    <mergeCell ref="J4:K4"/>
    <mergeCell ref="DB4:DC4"/>
    <mergeCell ref="DR3:DU3"/>
    <mergeCell ref="DT4:DU4"/>
    <mergeCell ref="DR4:DS4"/>
    <mergeCell ref="DL4:DM4"/>
    <mergeCell ref="DN4:DO4"/>
    <mergeCell ref="DP4:DQ4"/>
    <mergeCell ref="DD4:DE4"/>
    <mergeCell ref="DF3:DI3"/>
    <mergeCell ref="DJ3:DM3"/>
    <mergeCell ref="DN3:DQ3"/>
    <mergeCell ref="DJ4:DK4"/>
    <mergeCell ref="DF4:DG4"/>
    <mergeCell ref="DH4:DI4"/>
    <mergeCell ref="DB3:DE3"/>
    <mergeCell ref="B3:E3"/>
    <mergeCell ref="F3:I3"/>
    <mergeCell ref="J3:M3"/>
    <mergeCell ref="N3:Q3"/>
    <mergeCell ref="CZ4:DA4"/>
    <mergeCell ref="R4:S4"/>
    <mergeCell ref="AP4:AQ4"/>
    <mergeCell ref="AR4:AS4"/>
    <mergeCell ref="CL3:CO3"/>
    <mergeCell ref="CL4:CM4"/>
    <mergeCell ref="CN4:CO4"/>
    <mergeCell ref="CP3:CS3"/>
    <mergeCell ref="CT3:CW3"/>
    <mergeCell ref="CX3:DA3"/>
    <mergeCell ref="CX4:CY4"/>
    <mergeCell ref="L4:M4"/>
    <mergeCell ref="R3:U3"/>
    <mergeCell ref="T4:U4"/>
    <mergeCell ref="AL3:AO3"/>
    <mergeCell ref="AF4:AG4"/>
    <mergeCell ref="AH4:AI4"/>
    <mergeCell ref="AJ4:AK4"/>
    <mergeCell ref="AL4:AM4"/>
    <mergeCell ref="AN4:AO4"/>
    <mergeCell ref="V4:W4"/>
    <mergeCell ref="X4:Y4"/>
    <mergeCell ref="Z4:AA4"/>
    <mergeCell ref="V3:Y3"/>
    <mergeCell ref="AB4:AC4"/>
    <mergeCell ref="AD4:AE4"/>
    <mergeCell ref="Z3:AC3"/>
    <mergeCell ref="AD3:AG3"/>
    <mergeCell ref="BV3:BY3"/>
    <mergeCell ref="BZ3:CC3"/>
    <mergeCell ref="CD3:CG3"/>
    <mergeCell ref="CH3:CK3"/>
    <mergeCell ref="BR3:BU3"/>
    <mergeCell ref="AH3:AK3"/>
    <mergeCell ref="AP3:AS3"/>
    <mergeCell ref="AT3:AW3"/>
    <mergeCell ref="AX3:BA3"/>
    <mergeCell ref="BB3:BE3"/>
    <mergeCell ref="BF3:BI3"/>
    <mergeCell ref="BJ3:BM3"/>
    <mergeCell ref="BN3:BQ3"/>
    <mergeCell ref="AT4:AU4"/>
    <mergeCell ref="AV4:AW4"/>
    <mergeCell ref="AX4:AY4"/>
    <mergeCell ref="BP4:BQ4"/>
    <mergeCell ref="AZ4:BA4"/>
    <mergeCell ref="BB4:BC4"/>
    <mergeCell ref="BD4:B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6" customWidth="1"/>
    <col min="2" max="63" width="16" style="6" customWidth="1"/>
    <col min="64" max="65" width="16" style="32" customWidth="1"/>
    <col min="66" max="16384" width="9.140625" style="6"/>
  </cols>
  <sheetData>
    <row r="1" spans="1:65" ht="18.75" x14ac:dyDescent="0.3">
      <c r="A1" s="12" t="s">
        <v>233</v>
      </c>
    </row>
    <row r="2" spans="1:65" x14ac:dyDescent="0.25">
      <c r="A2" s="5" t="s">
        <v>98</v>
      </c>
    </row>
    <row r="3" spans="1:65" x14ac:dyDescent="0.25">
      <c r="A3" s="3" t="s">
        <v>0</v>
      </c>
      <c r="B3" s="154" t="s">
        <v>1</v>
      </c>
      <c r="C3" s="155"/>
      <c r="D3" s="154" t="s">
        <v>234</v>
      </c>
      <c r="E3" s="155"/>
      <c r="F3" s="154" t="s">
        <v>2</v>
      </c>
      <c r="G3" s="155"/>
      <c r="H3" s="154" t="s">
        <v>3</v>
      </c>
      <c r="I3" s="155"/>
      <c r="J3" s="154" t="s">
        <v>243</v>
      </c>
      <c r="K3" s="155"/>
      <c r="L3" s="154" t="s">
        <v>235</v>
      </c>
      <c r="M3" s="155"/>
      <c r="N3" s="154" t="s">
        <v>246</v>
      </c>
      <c r="O3" s="155"/>
      <c r="P3" s="154" t="s">
        <v>5</v>
      </c>
      <c r="Q3" s="155"/>
      <c r="R3" s="154" t="s">
        <v>4</v>
      </c>
      <c r="S3" s="155"/>
      <c r="T3" s="154" t="s">
        <v>6</v>
      </c>
      <c r="U3" s="155"/>
      <c r="V3" s="154" t="s">
        <v>7</v>
      </c>
      <c r="W3" s="155"/>
      <c r="X3" s="154" t="s">
        <v>8</v>
      </c>
      <c r="Y3" s="155"/>
      <c r="Z3" s="154" t="s">
        <v>9</v>
      </c>
      <c r="AA3" s="155"/>
      <c r="AB3" s="154" t="s">
        <v>242</v>
      </c>
      <c r="AC3" s="155"/>
      <c r="AD3" s="154" t="s">
        <v>10</v>
      </c>
      <c r="AE3" s="155"/>
      <c r="AF3" s="154" t="s">
        <v>11</v>
      </c>
      <c r="AG3" s="155"/>
      <c r="AH3" s="154" t="s">
        <v>236</v>
      </c>
      <c r="AI3" s="155"/>
      <c r="AJ3" s="154" t="s">
        <v>245</v>
      </c>
      <c r="AK3" s="155"/>
      <c r="AL3" s="154" t="s">
        <v>12</v>
      </c>
      <c r="AM3" s="155"/>
      <c r="AN3" s="154" t="s">
        <v>237</v>
      </c>
      <c r="AO3" s="155"/>
      <c r="AP3" s="154" t="s">
        <v>238</v>
      </c>
      <c r="AQ3" s="155"/>
      <c r="AR3" s="154" t="s">
        <v>241</v>
      </c>
      <c r="AS3" s="155"/>
      <c r="AT3" s="154" t="s">
        <v>13</v>
      </c>
      <c r="AU3" s="155"/>
      <c r="AV3" s="154" t="s">
        <v>14</v>
      </c>
      <c r="AW3" s="155"/>
      <c r="AX3" s="154" t="s">
        <v>15</v>
      </c>
      <c r="AY3" s="155"/>
      <c r="AZ3" s="154" t="s">
        <v>16</v>
      </c>
      <c r="BA3" s="155"/>
      <c r="BB3" s="154" t="s">
        <v>17</v>
      </c>
      <c r="BC3" s="155"/>
      <c r="BD3" s="154" t="s">
        <v>239</v>
      </c>
      <c r="BE3" s="155"/>
      <c r="BF3" s="154" t="s">
        <v>240</v>
      </c>
      <c r="BG3" s="155"/>
      <c r="BH3" s="154" t="s">
        <v>18</v>
      </c>
      <c r="BI3" s="155"/>
      <c r="BJ3" s="154" t="s">
        <v>19</v>
      </c>
      <c r="BK3" s="155"/>
      <c r="BL3" s="156" t="s">
        <v>20</v>
      </c>
      <c r="BM3" s="157"/>
    </row>
    <row r="4" spans="1:65" ht="30" x14ac:dyDescent="0.25">
      <c r="A4" s="3"/>
      <c r="B4" s="53" t="s">
        <v>300</v>
      </c>
      <c r="C4" s="54" t="s">
        <v>301</v>
      </c>
      <c r="D4" s="53" t="s">
        <v>300</v>
      </c>
      <c r="E4" s="54" t="s">
        <v>301</v>
      </c>
      <c r="F4" s="53" t="s">
        <v>300</v>
      </c>
      <c r="G4" s="54" t="s">
        <v>301</v>
      </c>
      <c r="H4" s="53" t="s">
        <v>300</v>
      </c>
      <c r="I4" s="54" t="s">
        <v>301</v>
      </c>
      <c r="J4" s="53" t="s">
        <v>300</v>
      </c>
      <c r="K4" s="54" t="s">
        <v>301</v>
      </c>
      <c r="L4" s="53" t="s">
        <v>300</v>
      </c>
      <c r="M4" s="54" t="s">
        <v>301</v>
      </c>
      <c r="N4" s="53" t="s">
        <v>300</v>
      </c>
      <c r="O4" s="54" t="s">
        <v>301</v>
      </c>
      <c r="P4" s="53" t="s">
        <v>300</v>
      </c>
      <c r="Q4" s="54" t="s">
        <v>301</v>
      </c>
      <c r="R4" s="53" t="s">
        <v>300</v>
      </c>
      <c r="S4" s="54" t="s">
        <v>301</v>
      </c>
      <c r="T4" s="53" t="s">
        <v>300</v>
      </c>
      <c r="U4" s="54" t="s">
        <v>301</v>
      </c>
      <c r="V4" s="53" t="s">
        <v>300</v>
      </c>
      <c r="W4" s="54" t="s">
        <v>301</v>
      </c>
      <c r="X4" s="53" t="s">
        <v>300</v>
      </c>
      <c r="Y4" s="54" t="s">
        <v>301</v>
      </c>
      <c r="Z4" s="53" t="s">
        <v>300</v>
      </c>
      <c r="AA4" s="54" t="s">
        <v>301</v>
      </c>
      <c r="AB4" s="53" t="s">
        <v>300</v>
      </c>
      <c r="AC4" s="54" t="s">
        <v>301</v>
      </c>
      <c r="AD4" s="53" t="s">
        <v>300</v>
      </c>
      <c r="AE4" s="54" t="s">
        <v>301</v>
      </c>
      <c r="AF4" s="53" t="s">
        <v>300</v>
      </c>
      <c r="AG4" s="54" t="s">
        <v>301</v>
      </c>
      <c r="AH4" s="53" t="s">
        <v>300</v>
      </c>
      <c r="AI4" s="54" t="s">
        <v>301</v>
      </c>
      <c r="AJ4" s="53" t="s">
        <v>300</v>
      </c>
      <c r="AK4" s="54" t="s">
        <v>301</v>
      </c>
      <c r="AL4" s="53" t="s">
        <v>300</v>
      </c>
      <c r="AM4" s="54" t="s">
        <v>301</v>
      </c>
      <c r="AN4" s="53" t="s">
        <v>300</v>
      </c>
      <c r="AO4" s="54" t="s">
        <v>301</v>
      </c>
      <c r="AP4" s="53" t="s">
        <v>300</v>
      </c>
      <c r="AQ4" s="54" t="s">
        <v>301</v>
      </c>
      <c r="AR4" s="53" t="s">
        <v>300</v>
      </c>
      <c r="AS4" s="54" t="s">
        <v>301</v>
      </c>
      <c r="AT4" s="53" t="s">
        <v>300</v>
      </c>
      <c r="AU4" s="54" t="s">
        <v>301</v>
      </c>
      <c r="AV4" s="53" t="s">
        <v>300</v>
      </c>
      <c r="AW4" s="54" t="s">
        <v>301</v>
      </c>
      <c r="AX4" s="53" t="s">
        <v>300</v>
      </c>
      <c r="AY4" s="54" t="s">
        <v>301</v>
      </c>
      <c r="AZ4" s="53" t="s">
        <v>300</v>
      </c>
      <c r="BA4" s="54" t="s">
        <v>301</v>
      </c>
      <c r="BB4" s="53" t="s">
        <v>300</v>
      </c>
      <c r="BC4" s="54" t="s">
        <v>301</v>
      </c>
      <c r="BD4" s="53" t="s">
        <v>300</v>
      </c>
      <c r="BE4" s="54" t="s">
        <v>301</v>
      </c>
      <c r="BF4" s="53" t="s">
        <v>300</v>
      </c>
      <c r="BG4" s="54" t="s">
        <v>301</v>
      </c>
      <c r="BH4" s="53" t="s">
        <v>300</v>
      </c>
      <c r="BI4" s="54" t="s">
        <v>301</v>
      </c>
      <c r="BJ4" s="53" t="s">
        <v>300</v>
      </c>
      <c r="BK4" s="54" t="s">
        <v>301</v>
      </c>
      <c r="BL4" s="53" t="s">
        <v>300</v>
      </c>
      <c r="BM4" s="54" t="s">
        <v>301</v>
      </c>
    </row>
    <row r="5" spans="1:65" x14ac:dyDescent="0.25">
      <c r="A5" s="3" t="s">
        <v>215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66"/>
      <c r="BM5" s="66"/>
    </row>
    <row r="6" spans="1:65" x14ac:dyDescent="0.25">
      <c r="A6" s="2" t="s">
        <v>216</v>
      </c>
      <c r="B6" s="91">
        <v>1</v>
      </c>
      <c r="C6" s="91">
        <v>-1</v>
      </c>
      <c r="D6" s="9"/>
      <c r="E6" s="9"/>
      <c r="F6" s="9"/>
      <c r="G6" s="9"/>
      <c r="H6" s="91">
        <v>2121</v>
      </c>
      <c r="I6" s="91">
        <v>9362</v>
      </c>
      <c r="J6" s="76"/>
      <c r="K6" s="76"/>
      <c r="L6" s="91">
        <v>5249</v>
      </c>
      <c r="M6" s="91">
        <v>10966</v>
      </c>
      <c r="N6" s="91">
        <v>382</v>
      </c>
      <c r="O6" s="91">
        <v>-4175</v>
      </c>
      <c r="P6" s="76"/>
      <c r="Q6" s="76"/>
      <c r="R6" s="90">
        <v>19.46</v>
      </c>
      <c r="S6" s="90">
        <v>-151.09</v>
      </c>
      <c r="T6" s="91">
        <v>2241.09</v>
      </c>
      <c r="U6" s="91">
        <v>1765.97</v>
      </c>
      <c r="V6" s="91">
        <v>5992</v>
      </c>
      <c r="W6" s="91">
        <v>8728</v>
      </c>
      <c r="X6" s="91">
        <v>16728</v>
      </c>
      <c r="Y6" s="91">
        <v>40819</v>
      </c>
      <c r="Z6" s="91">
        <v>3182</v>
      </c>
      <c r="AA6" s="91">
        <v>9628</v>
      </c>
      <c r="AB6" s="91">
        <v>122.46</v>
      </c>
      <c r="AC6" s="91">
        <v>520.61</v>
      </c>
      <c r="AD6" s="91">
        <v>1014</v>
      </c>
      <c r="AE6" s="91">
        <v>2374</v>
      </c>
      <c r="AF6" s="91">
        <v>-1099</v>
      </c>
      <c r="AG6" s="91">
        <v>-4131</v>
      </c>
      <c r="AH6" s="9"/>
      <c r="AI6" s="9"/>
      <c r="AJ6" s="76"/>
      <c r="AK6" s="76"/>
      <c r="AL6" s="91">
        <v>-5910.02</v>
      </c>
      <c r="AM6" s="91">
        <v>-5910.02</v>
      </c>
      <c r="AN6" s="91">
        <v>17</v>
      </c>
      <c r="AO6" s="91">
        <v>574</v>
      </c>
      <c r="AP6" s="91">
        <v>67</v>
      </c>
      <c r="AQ6" s="91">
        <v>-431</v>
      </c>
      <c r="AR6" s="9">
        <v>7973</v>
      </c>
      <c r="AS6" s="9">
        <v>19256</v>
      </c>
      <c r="AT6" s="91">
        <v>1080</v>
      </c>
      <c r="AU6" s="91">
        <v>5098</v>
      </c>
      <c r="AV6" s="91">
        <v>8910</v>
      </c>
      <c r="AW6" s="91">
        <v>30601</v>
      </c>
      <c r="AX6" s="91">
        <v>9</v>
      </c>
      <c r="AY6" s="91">
        <v>2044</v>
      </c>
      <c r="AZ6" s="9"/>
      <c r="BA6" s="9"/>
      <c r="BB6" s="91">
        <v>1787</v>
      </c>
      <c r="BC6" s="91">
        <v>2667</v>
      </c>
      <c r="BD6" s="91">
        <v>5600</v>
      </c>
      <c r="BE6" s="91">
        <v>45360</v>
      </c>
      <c r="BF6" s="91">
        <v>2319</v>
      </c>
      <c r="BG6" s="91">
        <v>-1648</v>
      </c>
      <c r="BH6" s="91">
        <v>1638</v>
      </c>
      <c r="BI6" s="91">
        <v>9332</v>
      </c>
      <c r="BJ6" s="91">
        <v>2747</v>
      </c>
      <c r="BK6" s="91">
        <v>4805</v>
      </c>
      <c r="BL6" s="67">
        <f>B6+D6+F6+H6+J6+L6+N6+P6+R6+T6+V6+X6+Z6+AB6+AD6+AF6+AH6+AJ6+AL6+AN6+AP6+AR6+AT6+AV6+AX6+AZ6+BB6+BD6+BF6+BH6+BJ6</f>
        <v>62189.990000000005</v>
      </c>
      <c r="BM6" s="67">
        <f>C6+E6+G6+I6+K6+M6+O6+Q6+S6+U6+W6+Y6+AA6+AC6+AE6+AG6+AI6+AK6+AM6+AO6+AQ6+AS6+AU6+AW6+AY6+BA6+BC6+BE6+BG6+BI6+BK6</f>
        <v>187453.47</v>
      </c>
    </row>
    <row r="7" spans="1:65" x14ac:dyDescent="0.25">
      <c r="A7" s="2" t="s">
        <v>217</v>
      </c>
      <c r="B7" s="91"/>
      <c r="C7" s="91"/>
      <c r="D7" s="9"/>
      <c r="E7" s="9"/>
      <c r="F7" s="9"/>
      <c r="G7" s="9"/>
      <c r="H7" s="91">
        <v>1063</v>
      </c>
      <c r="I7" s="91">
        <v>2093</v>
      </c>
      <c r="J7" s="76"/>
      <c r="K7" s="76"/>
      <c r="L7" s="91">
        <v>476</v>
      </c>
      <c r="M7" s="91">
        <v>770</v>
      </c>
      <c r="N7" s="91"/>
      <c r="O7" s="56">
        <v>9</v>
      </c>
      <c r="P7" s="56"/>
      <c r="Q7" s="56"/>
      <c r="R7" s="137">
        <v>-0.33</v>
      </c>
      <c r="S7" s="137">
        <v>-29.89</v>
      </c>
      <c r="T7" s="56">
        <v>964.01</v>
      </c>
      <c r="U7" s="56">
        <v>1199.23</v>
      </c>
      <c r="V7" s="56">
        <v>-954</v>
      </c>
      <c r="W7" s="56">
        <v>-2596</v>
      </c>
      <c r="X7" s="56">
        <v>912</v>
      </c>
      <c r="Y7" s="56">
        <v>-769</v>
      </c>
      <c r="Z7" s="56">
        <v>6</v>
      </c>
      <c r="AA7" s="56">
        <v>-2409</v>
      </c>
      <c r="AB7" s="56">
        <v>-59.52</v>
      </c>
      <c r="AC7" s="56">
        <v>-111.07</v>
      </c>
      <c r="AD7" s="56">
        <v>227</v>
      </c>
      <c r="AE7" s="56">
        <v>-803</v>
      </c>
      <c r="AF7" s="56">
        <v>-146</v>
      </c>
      <c r="AG7" s="91">
        <v>-298</v>
      </c>
      <c r="AH7" s="9"/>
      <c r="AI7" s="9"/>
      <c r="AJ7" s="76"/>
      <c r="AK7" s="76"/>
      <c r="AL7" s="91">
        <v>-1040.3900000000001</v>
      </c>
      <c r="AM7" s="91">
        <v>-1040.3900000000001</v>
      </c>
      <c r="AN7" s="91"/>
      <c r="AO7" s="91"/>
      <c r="AP7" s="91">
        <v>4</v>
      </c>
      <c r="AQ7" s="91">
        <v>5</v>
      </c>
      <c r="AR7" s="9">
        <v>252</v>
      </c>
      <c r="AS7" s="9">
        <v>-105</v>
      </c>
      <c r="AT7" s="91">
        <v>-158</v>
      </c>
      <c r="AU7" s="91">
        <v>-228</v>
      </c>
      <c r="AV7" s="91">
        <v>-91</v>
      </c>
      <c r="AW7" s="91">
        <v>-2730</v>
      </c>
      <c r="AX7" s="91">
        <v>3</v>
      </c>
      <c r="AY7" s="91">
        <v>78</v>
      </c>
      <c r="AZ7" s="9"/>
      <c r="BA7" s="9"/>
      <c r="BB7" s="91">
        <v>1633</v>
      </c>
      <c r="BC7" s="91">
        <v>-2629</v>
      </c>
      <c r="BD7" s="91">
        <v>-6034</v>
      </c>
      <c r="BE7" s="91">
        <v>9599</v>
      </c>
      <c r="BF7" s="91">
        <v>1633</v>
      </c>
      <c r="BG7" s="91">
        <v>1075</v>
      </c>
      <c r="BH7" s="91">
        <v>-3609</v>
      </c>
      <c r="BI7" s="91">
        <v>-2096</v>
      </c>
      <c r="BJ7" s="91">
        <v>122</v>
      </c>
      <c r="BK7" s="91">
        <v>264</v>
      </c>
      <c r="BL7" s="67">
        <f t="shared" ref="BL7:BL8" si="0">B7+D7+F7+H7+J7+L7+N7+P7+R7+T7+V7+X7+Z7+AB7+AD7+AF7+AH7+AJ7+AL7+AN7+AP7+AR7+AT7+AV7+AX7+AZ7+BB7+BD7+BF7+BH7+BJ7</f>
        <v>-4797.2299999999996</v>
      </c>
      <c r="BM7" s="67">
        <f t="shared" ref="BM7:BM8" si="1">C7+E7+G7+I7+K7+M7+O7+Q7+S7+U7+W7+Y7+AA7+AC7+AE7+AG7+AI7+AK7+AM7+AO7+AQ7+AS7+AU7+AW7+AY7+BA7+BC7+BE7+BG7+BI7+BK7</f>
        <v>-752.11999999999898</v>
      </c>
    </row>
    <row r="8" spans="1:65" x14ac:dyDescent="0.25">
      <c r="A8" s="2" t="s">
        <v>218</v>
      </c>
      <c r="B8" s="91">
        <v>-6703</v>
      </c>
      <c r="C8" s="91">
        <v>-39300</v>
      </c>
      <c r="D8" s="91">
        <v>-3315</v>
      </c>
      <c r="E8" s="91">
        <v>-33245</v>
      </c>
      <c r="F8" s="91">
        <v>18088</v>
      </c>
      <c r="G8" s="91">
        <v>71268</v>
      </c>
      <c r="H8" s="91">
        <v>24793</v>
      </c>
      <c r="I8" s="91">
        <v>132117</v>
      </c>
      <c r="J8" s="91">
        <v>40683</v>
      </c>
      <c r="K8" s="91">
        <v>28297</v>
      </c>
      <c r="L8" s="91">
        <v>9201</v>
      </c>
      <c r="M8" s="91">
        <v>47744</v>
      </c>
      <c r="N8" s="91">
        <v>-12396</v>
      </c>
      <c r="O8" s="91">
        <v>-33350</v>
      </c>
      <c r="P8" s="91">
        <v>27536.31</v>
      </c>
      <c r="Q8" s="91">
        <v>68488.070000000007</v>
      </c>
      <c r="R8" s="90">
        <v>-2755.48</v>
      </c>
      <c r="S8" s="90">
        <v>-11209.5</v>
      </c>
      <c r="T8" s="91">
        <v>12098.56</v>
      </c>
      <c r="U8" s="91">
        <v>20089.16</v>
      </c>
      <c r="V8" s="91">
        <v>14968</v>
      </c>
      <c r="W8" s="91">
        <v>41298</v>
      </c>
      <c r="X8" s="91">
        <v>83318</v>
      </c>
      <c r="Y8" s="91">
        <v>139347</v>
      </c>
      <c r="Z8" s="91">
        <v>-13175</v>
      </c>
      <c r="AA8" s="91">
        <v>-27137</v>
      </c>
      <c r="AB8" s="91">
        <v>-1206.01</v>
      </c>
      <c r="AC8" s="91">
        <v>-6353.12</v>
      </c>
      <c r="AD8" s="91">
        <v>12937</v>
      </c>
      <c r="AE8" s="91">
        <v>10127</v>
      </c>
      <c r="AF8" s="91">
        <v>1945</v>
      </c>
      <c r="AG8" s="91">
        <v>7670</v>
      </c>
      <c r="AH8" s="91">
        <v>14821.06</v>
      </c>
      <c r="AI8" s="91">
        <v>-8949.7099999999991</v>
      </c>
      <c r="AJ8" s="91">
        <v>6896</v>
      </c>
      <c r="AK8" s="91">
        <v>4508</v>
      </c>
      <c r="AL8" s="91">
        <v>-80614.42</v>
      </c>
      <c r="AM8" s="91">
        <v>-80614.42</v>
      </c>
      <c r="AN8" s="91">
        <v>-1341</v>
      </c>
      <c r="AO8" s="91">
        <v>-8317</v>
      </c>
      <c r="AP8" s="91">
        <v>-618</v>
      </c>
      <c r="AQ8" s="91">
        <v>-4042</v>
      </c>
      <c r="AR8" s="76">
        <v>11947</v>
      </c>
      <c r="AS8" s="76">
        <v>50001</v>
      </c>
      <c r="AT8" s="91">
        <v>-1546</v>
      </c>
      <c r="AU8" s="91">
        <v>1656</v>
      </c>
      <c r="AV8" s="91">
        <v>-9703</v>
      </c>
      <c r="AW8" s="91">
        <v>-35347</v>
      </c>
      <c r="AX8" s="91">
        <v>18896</v>
      </c>
      <c r="AY8" s="91">
        <v>69415</v>
      </c>
      <c r="AZ8" s="91">
        <v>-9803</v>
      </c>
      <c r="BA8" s="91">
        <v>-158197</v>
      </c>
      <c r="BB8" s="91">
        <v>12281</v>
      </c>
      <c r="BC8" s="91">
        <v>45618</v>
      </c>
      <c r="BD8" s="91">
        <v>-92692</v>
      </c>
      <c r="BE8" s="91">
        <v>-108957</v>
      </c>
      <c r="BF8" s="91">
        <v>-103536</v>
      </c>
      <c r="BG8" s="91">
        <v>-301952</v>
      </c>
      <c r="BH8" s="91">
        <v>-91750</v>
      </c>
      <c r="BI8" s="91">
        <v>-175024</v>
      </c>
      <c r="BJ8" s="91">
        <v>-923</v>
      </c>
      <c r="BK8" s="91">
        <v>6063</v>
      </c>
      <c r="BL8" s="67">
        <f t="shared" si="0"/>
        <v>-121667.97999999998</v>
      </c>
      <c r="BM8" s="67">
        <f t="shared" si="1"/>
        <v>-288288.52</v>
      </c>
    </row>
    <row r="9" spans="1:65" x14ac:dyDescent="0.25">
      <c r="A9" s="3" t="s">
        <v>219</v>
      </c>
      <c r="B9" s="9"/>
      <c r="C9" s="9"/>
      <c r="D9" s="9"/>
      <c r="E9" s="9"/>
      <c r="F9" s="9"/>
      <c r="G9" s="9"/>
      <c r="H9" s="9"/>
      <c r="I9" s="9"/>
      <c r="J9" s="76"/>
      <c r="K9" s="76"/>
      <c r="L9" s="9"/>
      <c r="M9" s="9"/>
      <c r="N9" s="9"/>
      <c r="O9" s="9"/>
      <c r="P9" s="9"/>
      <c r="Q9" s="9"/>
      <c r="R9" s="9"/>
      <c r="S9" s="9"/>
      <c r="T9" s="76"/>
      <c r="U9" s="76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67"/>
      <c r="BM9" s="67"/>
    </row>
    <row r="10" spans="1:65" x14ac:dyDescent="0.25">
      <c r="A10" s="2" t="s">
        <v>220</v>
      </c>
      <c r="B10" s="91">
        <v>384</v>
      </c>
      <c r="C10" s="91">
        <v>1109</v>
      </c>
      <c r="D10" s="91">
        <v>560</v>
      </c>
      <c r="E10" s="91">
        <v>2228</v>
      </c>
      <c r="F10" s="91">
        <v>5906</v>
      </c>
      <c r="G10" s="91">
        <v>21306</v>
      </c>
      <c r="H10" s="91">
        <v>8375</v>
      </c>
      <c r="I10" s="91">
        <v>28786</v>
      </c>
      <c r="J10" s="91">
        <v>1500</v>
      </c>
      <c r="K10" s="91">
        <v>6303</v>
      </c>
      <c r="L10" s="91">
        <v>2586</v>
      </c>
      <c r="M10" s="91">
        <v>9232</v>
      </c>
      <c r="N10" s="91">
        <v>2140</v>
      </c>
      <c r="O10" s="91">
        <v>7498</v>
      </c>
      <c r="P10" s="91">
        <v>10984.45</v>
      </c>
      <c r="Q10" s="91">
        <v>42574.23</v>
      </c>
      <c r="R10" s="90">
        <v>119.83</v>
      </c>
      <c r="S10" s="90">
        <v>379.17</v>
      </c>
      <c r="T10" s="91">
        <v>2258.83</v>
      </c>
      <c r="U10" s="91">
        <v>8498.7999999999993</v>
      </c>
      <c r="V10" s="91">
        <v>4983</v>
      </c>
      <c r="W10" s="91">
        <v>22206</v>
      </c>
      <c r="X10" s="91">
        <v>13694</v>
      </c>
      <c r="Y10" s="91">
        <v>55089</v>
      </c>
      <c r="Z10" s="91">
        <v>4812</v>
      </c>
      <c r="AA10" s="91">
        <v>20975</v>
      </c>
      <c r="AB10" s="91">
        <v>257.35000000000002</v>
      </c>
      <c r="AC10" s="91">
        <v>1484.66</v>
      </c>
      <c r="AD10" s="91">
        <v>1229</v>
      </c>
      <c r="AE10" s="91">
        <v>6193</v>
      </c>
      <c r="AF10" s="91">
        <v>787</v>
      </c>
      <c r="AG10" s="91">
        <v>2693</v>
      </c>
      <c r="AH10" s="91">
        <v>394.81</v>
      </c>
      <c r="AI10" s="91">
        <v>1915.78</v>
      </c>
      <c r="AJ10" s="91">
        <v>998</v>
      </c>
      <c r="AK10" s="91">
        <v>3754</v>
      </c>
      <c r="AL10" s="91">
        <v>1102.71</v>
      </c>
      <c r="AM10" s="91">
        <v>4151.78</v>
      </c>
      <c r="AN10" s="91">
        <v>452</v>
      </c>
      <c r="AO10" s="91">
        <v>1626</v>
      </c>
      <c r="AP10" s="91">
        <v>374</v>
      </c>
      <c r="AQ10" s="91">
        <v>1299</v>
      </c>
      <c r="AR10" s="76">
        <v>7496</v>
      </c>
      <c r="AS10" s="76">
        <v>19208</v>
      </c>
      <c r="AT10" s="91">
        <v>2271</v>
      </c>
      <c r="AU10" s="91">
        <v>8960</v>
      </c>
      <c r="AV10" s="91">
        <v>3114</v>
      </c>
      <c r="AW10" s="91">
        <v>12702</v>
      </c>
      <c r="AX10" s="91">
        <v>2154</v>
      </c>
      <c r="AY10" s="91">
        <v>10159</v>
      </c>
      <c r="AZ10" s="91">
        <v>6102</v>
      </c>
      <c r="BA10" s="91">
        <v>24190</v>
      </c>
      <c r="BB10" s="91">
        <v>5440</v>
      </c>
      <c r="BC10" s="91">
        <v>21322</v>
      </c>
      <c r="BD10" s="91">
        <v>32055</v>
      </c>
      <c r="BE10" s="91">
        <v>88249</v>
      </c>
      <c r="BF10" s="91">
        <v>1965</v>
      </c>
      <c r="BG10" s="91">
        <v>4187</v>
      </c>
      <c r="BH10" s="91">
        <v>1990</v>
      </c>
      <c r="BI10" s="91">
        <v>16473</v>
      </c>
      <c r="BJ10" s="91">
        <v>627</v>
      </c>
      <c r="BK10" s="91">
        <v>5140</v>
      </c>
      <c r="BL10" s="67">
        <f t="shared" ref="BL10:BL16" si="2">B10+D10+F10+H10+J10+L10+N10+P10+R10+T10+V10+X10+Z10+AB10+AD10+AF10+AH10+AJ10+AL10+AN10+AP10+AR10+AT10+AV10+AX10+AZ10+BB10+BD10+BF10+BH10+BJ10</f>
        <v>127111.98</v>
      </c>
      <c r="BM10" s="67">
        <f t="shared" ref="BM10:BM16" si="3">C10+E10+G10+I10+K10+M10+O10+Q10+S10+U10+W10+Y10+AA10+AC10+AE10+AG10+AI10+AK10+AM10+AO10+AQ10+AS10+AU10+AW10+AY10+BA10+BC10+BE10+BG10+BI10+BK10</f>
        <v>459891.42000000004</v>
      </c>
    </row>
    <row r="11" spans="1:65" x14ac:dyDescent="0.25">
      <c r="A11" s="2" t="s">
        <v>221</v>
      </c>
      <c r="B11" s="91">
        <v>44</v>
      </c>
      <c r="C11" s="91">
        <v>115</v>
      </c>
      <c r="D11" s="91">
        <v>21</v>
      </c>
      <c r="E11" s="91">
        <v>393</v>
      </c>
      <c r="F11" s="91">
        <v>2150</v>
      </c>
      <c r="G11" s="91">
        <v>2628</v>
      </c>
      <c r="H11" s="91">
        <v>131</v>
      </c>
      <c r="I11" s="91">
        <v>13005</v>
      </c>
      <c r="J11" s="91">
        <v>83</v>
      </c>
      <c r="K11" s="91">
        <v>189</v>
      </c>
      <c r="L11" s="91">
        <v>89</v>
      </c>
      <c r="M11" s="91">
        <v>970</v>
      </c>
      <c r="N11" s="91">
        <v>79</v>
      </c>
      <c r="O11" s="91">
        <v>847</v>
      </c>
      <c r="P11" s="91">
        <v>802.22</v>
      </c>
      <c r="Q11" s="91">
        <v>5532.08</v>
      </c>
      <c r="R11" s="90">
        <v>84.29</v>
      </c>
      <c r="S11" s="90">
        <v>505.96</v>
      </c>
      <c r="T11" s="91">
        <v>91.24</v>
      </c>
      <c r="U11" s="91">
        <v>849.71</v>
      </c>
      <c r="V11" s="91">
        <v>968</v>
      </c>
      <c r="W11" s="91">
        <v>6343</v>
      </c>
      <c r="X11" s="91">
        <v>3175</v>
      </c>
      <c r="Y11" s="91">
        <v>17254</v>
      </c>
      <c r="Z11" s="91">
        <v>756</v>
      </c>
      <c r="AA11" s="91">
        <v>5906</v>
      </c>
      <c r="AB11" s="91">
        <v>2.2000000000000002</v>
      </c>
      <c r="AC11" s="91">
        <v>107.28</v>
      </c>
      <c r="AD11" s="91">
        <v>74</v>
      </c>
      <c r="AE11" s="91">
        <v>237</v>
      </c>
      <c r="AF11" s="91">
        <v>143</v>
      </c>
      <c r="AG11" s="91">
        <v>320</v>
      </c>
      <c r="AH11" s="91">
        <v>4.09</v>
      </c>
      <c r="AI11" s="91">
        <v>155.35</v>
      </c>
      <c r="AJ11" s="91">
        <v>24</v>
      </c>
      <c r="AK11" s="91">
        <v>94</v>
      </c>
      <c r="AL11" s="91">
        <v>487.26</v>
      </c>
      <c r="AM11" s="91">
        <v>1946.86</v>
      </c>
      <c r="AN11" s="91">
        <v>-4</v>
      </c>
      <c r="AO11" s="91">
        <v>230</v>
      </c>
      <c r="AP11" s="91"/>
      <c r="AQ11" s="91">
        <v>11</v>
      </c>
      <c r="AR11" s="76">
        <v>1152</v>
      </c>
      <c r="AS11" s="76">
        <v>2939</v>
      </c>
      <c r="AT11" s="91">
        <v>638</v>
      </c>
      <c r="AU11" s="91">
        <v>2661</v>
      </c>
      <c r="AV11" s="91">
        <v>4676</v>
      </c>
      <c r="AW11" s="91">
        <v>17177</v>
      </c>
      <c r="AX11" s="91">
        <v>5504</v>
      </c>
      <c r="AY11" s="91">
        <v>8436</v>
      </c>
      <c r="AZ11" s="91">
        <v>-202</v>
      </c>
      <c r="BA11" s="91">
        <v>6415</v>
      </c>
      <c r="BB11" s="91">
        <v>-11</v>
      </c>
      <c r="BC11" s="91">
        <v>5350</v>
      </c>
      <c r="BD11" s="91">
        <v>4886</v>
      </c>
      <c r="BE11" s="91">
        <v>75443</v>
      </c>
      <c r="BF11" s="91">
        <v>638</v>
      </c>
      <c r="BG11" s="91">
        <v>1435</v>
      </c>
      <c r="BH11" s="91">
        <v>72</v>
      </c>
      <c r="BI11" s="91">
        <v>4619</v>
      </c>
      <c r="BJ11" s="91">
        <v>52</v>
      </c>
      <c r="BK11" s="91">
        <v>663</v>
      </c>
      <c r="BL11" s="67">
        <f t="shared" si="2"/>
        <v>26609.300000000003</v>
      </c>
      <c r="BM11" s="67">
        <f t="shared" si="3"/>
        <v>182777.24</v>
      </c>
    </row>
    <row r="12" spans="1:65" x14ac:dyDescent="0.25">
      <c r="A12" s="2" t="s">
        <v>222</v>
      </c>
      <c r="B12" s="91">
        <v>-14</v>
      </c>
      <c r="C12" s="91">
        <v>-32</v>
      </c>
      <c r="D12" s="76"/>
      <c r="E12" s="76"/>
      <c r="F12" s="91">
        <v>-1644</v>
      </c>
      <c r="G12" s="91">
        <v>-1644</v>
      </c>
      <c r="H12" s="91">
        <v>-90</v>
      </c>
      <c r="I12" s="91">
        <v>-568</v>
      </c>
      <c r="J12" s="91">
        <v>-257</v>
      </c>
      <c r="K12" s="91">
        <v>-257</v>
      </c>
      <c r="L12" s="91"/>
      <c r="M12" s="91"/>
      <c r="N12" s="91">
        <v>-174</v>
      </c>
      <c r="O12" s="91">
        <v>-194</v>
      </c>
      <c r="P12" s="76"/>
      <c r="Q12" s="76"/>
      <c r="R12" s="90">
        <v>-115.46</v>
      </c>
      <c r="S12" s="90">
        <v>-299.44</v>
      </c>
      <c r="T12" s="90">
        <v>-0.06</v>
      </c>
      <c r="U12" s="91">
        <v>-1.63</v>
      </c>
      <c r="V12" s="91">
        <v>-183</v>
      </c>
      <c r="W12" s="91">
        <v>-2867</v>
      </c>
      <c r="X12" s="91">
        <v>-177</v>
      </c>
      <c r="Y12" s="91">
        <v>-892</v>
      </c>
      <c r="Z12" s="76"/>
      <c r="AA12" s="76"/>
      <c r="AB12" s="91">
        <v>-14.35</v>
      </c>
      <c r="AC12" s="91">
        <v>-41.44</v>
      </c>
      <c r="AD12" s="76"/>
      <c r="AE12" s="76"/>
      <c r="AF12" s="91">
        <v>0</v>
      </c>
      <c r="AG12" s="91">
        <v>-4</v>
      </c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>
        <v>-124</v>
      </c>
      <c r="AS12" s="9">
        <v>-194</v>
      </c>
      <c r="AT12" s="91">
        <v>-193</v>
      </c>
      <c r="AU12" s="91">
        <v>-403</v>
      </c>
      <c r="AV12" s="91">
        <v>-1185</v>
      </c>
      <c r="AW12" s="91">
        <v>-2347</v>
      </c>
      <c r="AX12" s="91">
        <v>-24</v>
      </c>
      <c r="AY12" s="91">
        <v>-24</v>
      </c>
      <c r="AZ12" s="9"/>
      <c r="BA12" s="9"/>
      <c r="BB12" s="91">
        <v>-22</v>
      </c>
      <c r="BC12" s="91">
        <v>-252</v>
      </c>
      <c r="BD12" s="9"/>
      <c r="BE12" s="9"/>
      <c r="BF12" s="9"/>
      <c r="BG12" s="9"/>
      <c r="BH12" s="9"/>
      <c r="BI12" s="9"/>
      <c r="BJ12" s="91">
        <v>-10</v>
      </c>
      <c r="BK12" s="91">
        <v>-18</v>
      </c>
      <c r="BL12" s="67">
        <f t="shared" si="2"/>
        <v>-4226.87</v>
      </c>
      <c r="BM12" s="67">
        <f t="shared" si="3"/>
        <v>-10038.509999999998</v>
      </c>
    </row>
    <row r="13" spans="1:65" ht="15" customHeight="1" x14ac:dyDescent="0.25">
      <c r="A13" s="2" t="s">
        <v>223</v>
      </c>
      <c r="B13" s="9"/>
      <c r="C13" s="9"/>
      <c r="D13" s="91">
        <v>-60</v>
      </c>
      <c r="E13" s="91">
        <v>-268</v>
      </c>
      <c r="F13" s="91"/>
      <c r="G13" s="91"/>
      <c r="H13" s="91"/>
      <c r="I13" s="91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1"/>
      <c r="Y13" s="9"/>
      <c r="Z13" s="9"/>
      <c r="AA13" s="9"/>
      <c r="AB13" s="91">
        <v>-41.81</v>
      </c>
      <c r="AC13" s="91">
        <v>-226.91</v>
      </c>
      <c r="AD13" s="9"/>
      <c r="AE13" s="9"/>
      <c r="AF13" s="91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67">
        <f t="shared" si="2"/>
        <v>-101.81</v>
      </c>
      <c r="BM13" s="67">
        <f t="shared" si="3"/>
        <v>-494.90999999999997</v>
      </c>
    </row>
    <row r="14" spans="1:65" x14ac:dyDescent="0.25">
      <c r="A14" s="9" t="s">
        <v>224</v>
      </c>
      <c r="B14" s="9"/>
      <c r="C14" s="9"/>
      <c r="D14" s="9"/>
      <c r="E14" s="9"/>
      <c r="F14" s="76">
        <v>-1428</v>
      </c>
      <c r="G14" s="76">
        <v>410</v>
      </c>
      <c r="H14" s="91">
        <v>-1173</v>
      </c>
      <c r="I14" s="91">
        <v>-2613</v>
      </c>
      <c r="J14" s="91">
        <v>-97</v>
      </c>
      <c r="K14" s="91">
        <v>-395</v>
      </c>
      <c r="L14" s="9"/>
      <c r="M14" s="9"/>
      <c r="N14" s="9"/>
      <c r="O14" s="9"/>
      <c r="P14" s="9"/>
      <c r="Q14" s="9"/>
      <c r="R14" s="90">
        <v>33.72</v>
      </c>
      <c r="S14" s="90">
        <v>80.400000000000006</v>
      </c>
      <c r="T14" s="91">
        <v>-57.25</v>
      </c>
      <c r="U14" s="91">
        <v>-169.1</v>
      </c>
      <c r="V14" s="91">
        <v>-257</v>
      </c>
      <c r="W14" s="91">
        <v>-1313</v>
      </c>
      <c r="X14" s="91">
        <v>-271</v>
      </c>
      <c r="Y14" s="91">
        <v>-1132</v>
      </c>
      <c r="Z14" s="91">
        <v>-1</v>
      </c>
      <c r="AA14" s="9">
        <v>-206</v>
      </c>
      <c r="AB14" s="91"/>
      <c r="AC14" s="91"/>
      <c r="AD14" s="91">
        <v>-94</v>
      </c>
      <c r="AE14" s="91">
        <v>-474</v>
      </c>
      <c r="AF14" s="91">
        <v>-54</v>
      </c>
      <c r="AG14" s="91">
        <v>-179</v>
      </c>
      <c r="AH14" s="91">
        <v>73.78</v>
      </c>
      <c r="AI14" s="91">
        <v>-289.07</v>
      </c>
      <c r="AJ14" s="9">
        <v>-21</v>
      </c>
      <c r="AK14" s="9">
        <v>-94</v>
      </c>
      <c r="AL14" s="9"/>
      <c r="AM14" s="9"/>
      <c r="AN14" s="9"/>
      <c r="AO14" s="9"/>
      <c r="AP14" s="9">
        <v>-39</v>
      </c>
      <c r="AQ14" s="9">
        <v>-127</v>
      </c>
      <c r="AR14" s="9">
        <v>-301</v>
      </c>
      <c r="AS14" s="9">
        <v>-823</v>
      </c>
      <c r="AT14" s="91">
        <v>-194</v>
      </c>
      <c r="AU14" s="91">
        <v>-688</v>
      </c>
      <c r="AV14" s="91">
        <v>-29</v>
      </c>
      <c r="AW14" s="91">
        <v>-426</v>
      </c>
      <c r="AX14" s="76">
        <v>-72</v>
      </c>
      <c r="AY14" s="76">
        <v>-298</v>
      </c>
      <c r="AZ14" s="91">
        <v>163</v>
      </c>
      <c r="BA14" s="91">
        <v>721</v>
      </c>
      <c r="BB14" s="9">
        <v>-47</v>
      </c>
      <c r="BC14" s="9">
        <v>-29</v>
      </c>
      <c r="BD14" s="91">
        <v>-723</v>
      </c>
      <c r="BE14" s="91">
        <v>-1827</v>
      </c>
      <c r="BF14" s="9"/>
      <c r="BG14" s="9"/>
      <c r="BH14" s="9"/>
      <c r="BI14" s="9"/>
      <c r="BJ14" s="91"/>
      <c r="BK14" s="91"/>
      <c r="BL14" s="67">
        <f t="shared" si="2"/>
        <v>-4587.75</v>
      </c>
      <c r="BM14" s="67">
        <f t="shared" si="3"/>
        <v>-9870.77</v>
      </c>
    </row>
    <row r="15" spans="1:65" s="7" customFormat="1" x14ac:dyDescent="0.25">
      <c r="A15" s="3" t="s">
        <v>225</v>
      </c>
      <c r="B15" s="10">
        <f>B16-B14-B13-B12-B11-B10-B8-B7-B6</f>
        <v>1</v>
      </c>
      <c r="C15" s="10">
        <f t="shared" ref="C15:AE15" si="4">C16-C14-C13-C12-C11-C10-C8-C7-C6</f>
        <v>1</v>
      </c>
      <c r="D15" s="10">
        <f t="shared" si="4"/>
        <v>1</v>
      </c>
      <c r="E15" s="10">
        <f t="shared" si="4"/>
        <v>0</v>
      </c>
      <c r="F15" s="10">
        <f t="shared" si="4"/>
        <v>65</v>
      </c>
      <c r="G15" s="10">
        <f t="shared" si="4"/>
        <v>131</v>
      </c>
      <c r="H15" s="10">
        <f t="shared" si="4"/>
        <v>-1</v>
      </c>
      <c r="I15" s="10">
        <f t="shared" si="4"/>
        <v>7</v>
      </c>
      <c r="J15" s="10">
        <f t="shared" si="4"/>
        <v>0</v>
      </c>
      <c r="K15" s="10">
        <f t="shared" si="4"/>
        <v>0</v>
      </c>
      <c r="L15" s="10">
        <f t="shared" si="4"/>
        <v>0</v>
      </c>
      <c r="M15" s="10">
        <f t="shared" si="4"/>
        <v>0</v>
      </c>
      <c r="N15" s="10">
        <f t="shared" si="4"/>
        <v>-4</v>
      </c>
      <c r="O15" s="10">
        <f t="shared" si="4"/>
        <v>0</v>
      </c>
      <c r="P15" s="10">
        <f t="shared" si="4"/>
        <v>119.5399999999936</v>
      </c>
      <c r="Q15" s="10">
        <f t="shared" si="4"/>
        <v>693.75999999998021</v>
      </c>
      <c r="R15" s="127">
        <f t="shared" si="4"/>
        <v>5.6132876125047915E-13</v>
      </c>
      <c r="S15" s="127">
        <f t="shared" si="4"/>
        <v>0.35000000000079012</v>
      </c>
      <c r="T15" s="10">
        <f t="shared" si="4"/>
        <v>0</v>
      </c>
      <c r="U15" s="10">
        <f t="shared" si="4"/>
        <v>1.0000000002719389E-2</v>
      </c>
      <c r="V15" s="10">
        <f t="shared" si="4"/>
        <v>0</v>
      </c>
      <c r="W15" s="10">
        <f t="shared" si="4"/>
        <v>0</v>
      </c>
      <c r="X15" s="10">
        <f t="shared" si="4"/>
        <v>77</v>
      </c>
      <c r="Y15" s="10">
        <f t="shared" si="4"/>
        <v>295</v>
      </c>
      <c r="Z15" s="10">
        <f t="shared" si="4"/>
        <v>173</v>
      </c>
      <c r="AA15" s="10">
        <f t="shared" si="4"/>
        <v>286</v>
      </c>
      <c r="AB15" s="10">
        <f t="shared" si="4"/>
        <v>3.260000000000062</v>
      </c>
      <c r="AC15" s="10">
        <f t="shared" si="4"/>
        <v>23.179999999999268</v>
      </c>
      <c r="AD15" s="10">
        <f t="shared" si="4"/>
        <v>0</v>
      </c>
      <c r="AE15" s="10">
        <f t="shared" si="4"/>
        <v>0</v>
      </c>
      <c r="AF15" s="10">
        <f t="shared" ref="AF15:BK15" si="5">AF16-AF14-AF13-AF12-AF11-AF10-AF8-AF7-AF6</f>
        <v>1</v>
      </c>
      <c r="AG15" s="10">
        <f t="shared" si="5"/>
        <v>0</v>
      </c>
      <c r="AH15" s="10">
        <f t="shared" si="5"/>
        <v>106.90999999999985</v>
      </c>
      <c r="AI15" s="10">
        <f t="shared" si="5"/>
        <v>106.91999999999825</v>
      </c>
      <c r="AJ15" s="10">
        <f t="shared" si="5"/>
        <v>6</v>
      </c>
      <c r="AK15" s="10">
        <f t="shared" si="5"/>
        <v>719</v>
      </c>
      <c r="AL15" s="10">
        <f t="shared" si="5"/>
        <v>640.75999999999203</v>
      </c>
      <c r="AM15" s="10">
        <f t="shared" si="5"/>
        <v>-72164.789999999994</v>
      </c>
      <c r="AN15" s="10">
        <f t="shared" si="5"/>
        <v>0</v>
      </c>
      <c r="AO15" s="10">
        <f t="shared" si="5"/>
        <v>1</v>
      </c>
      <c r="AP15" s="10">
        <f t="shared" si="5"/>
        <v>0</v>
      </c>
      <c r="AQ15" s="10">
        <f t="shared" si="5"/>
        <v>25</v>
      </c>
      <c r="AR15" s="10">
        <f t="shared" si="5"/>
        <v>520</v>
      </c>
      <c r="AS15" s="10">
        <f t="shared" si="5"/>
        <v>2866</v>
      </c>
      <c r="AT15" s="10">
        <f t="shared" si="5"/>
        <v>0</v>
      </c>
      <c r="AU15" s="10">
        <f t="shared" si="5"/>
        <v>4</v>
      </c>
      <c r="AV15" s="10">
        <f t="shared" si="5"/>
        <v>19</v>
      </c>
      <c r="AW15" s="10">
        <f t="shared" si="5"/>
        <v>1231</v>
      </c>
      <c r="AX15" s="10">
        <f t="shared" si="5"/>
        <v>-1</v>
      </c>
      <c r="AY15" s="10">
        <f t="shared" si="5"/>
        <v>1</v>
      </c>
      <c r="AZ15" s="10">
        <f t="shared" si="5"/>
        <v>116</v>
      </c>
      <c r="BA15" s="10">
        <f t="shared" si="5"/>
        <v>810</v>
      </c>
      <c r="BB15" s="10">
        <f t="shared" si="5"/>
        <v>28</v>
      </c>
      <c r="BC15" s="10">
        <f t="shared" si="5"/>
        <v>172</v>
      </c>
      <c r="BD15" s="10">
        <f t="shared" si="5"/>
        <v>5881</v>
      </c>
      <c r="BE15" s="10">
        <f t="shared" si="5"/>
        <v>3875</v>
      </c>
      <c r="BF15" s="10">
        <f t="shared" si="5"/>
        <v>-1780</v>
      </c>
      <c r="BG15" s="10">
        <f t="shared" si="5"/>
        <v>2650</v>
      </c>
      <c r="BH15" s="10">
        <f t="shared" si="5"/>
        <v>1424</v>
      </c>
      <c r="BI15" s="10">
        <f t="shared" si="5"/>
        <v>1626</v>
      </c>
      <c r="BJ15" s="10">
        <f t="shared" si="5"/>
        <v>-48</v>
      </c>
      <c r="BK15" s="10">
        <f t="shared" si="5"/>
        <v>-518</v>
      </c>
      <c r="BL15" s="63">
        <f t="shared" si="2"/>
        <v>7348.4699999999866</v>
      </c>
      <c r="BM15" s="63">
        <f t="shared" si="3"/>
        <v>-57158.570000000007</v>
      </c>
    </row>
    <row r="16" spans="1:65" s="7" customFormat="1" x14ac:dyDescent="0.25">
      <c r="A16" s="3" t="s">
        <v>25</v>
      </c>
      <c r="B16" s="10">
        <v>-6287</v>
      </c>
      <c r="C16" s="10">
        <v>-38108</v>
      </c>
      <c r="D16" s="10">
        <v>-2793</v>
      </c>
      <c r="E16" s="10">
        <v>-30892</v>
      </c>
      <c r="F16" s="10">
        <v>23137</v>
      </c>
      <c r="G16" s="10">
        <v>94099</v>
      </c>
      <c r="H16" s="10">
        <v>35219</v>
      </c>
      <c r="I16" s="10">
        <v>182189</v>
      </c>
      <c r="J16" s="10">
        <v>41912</v>
      </c>
      <c r="K16" s="10">
        <v>34137</v>
      </c>
      <c r="L16" s="10">
        <v>17601</v>
      </c>
      <c r="M16" s="10">
        <v>69682</v>
      </c>
      <c r="N16" s="10">
        <v>-9973</v>
      </c>
      <c r="O16" s="10">
        <v>-29365</v>
      </c>
      <c r="P16" s="10">
        <v>39442.519999999997</v>
      </c>
      <c r="Q16" s="10">
        <v>117288.14</v>
      </c>
      <c r="R16" s="127">
        <v>-2613.9699999999998</v>
      </c>
      <c r="S16" s="127">
        <v>-10724.04</v>
      </c>
      <c r="T16" s="10">
        <v>17596.419999999998</v>
      </c>
      <c r="U16" s="10">
        <v>32232.15</v>
      </c>
      <c r="V16" s="10">
        <v>25517</v>
      </c>
      <c r="W16" s="10">
        <v>71799</v>
      </c>
      <c r="X16" s="10">
        <v>117456</v>
      </c>
      <c r="Y16" s="10">
        <v>250011</v>
      </c>
      <c r="Z16" s="10">
        <v>-4247</v>
      </c>
      <c r="AA16" s="10">
        <v>7043</v>
      </c>
      <c r="AB16" s="10">
        <v>-936.42</v>
      </c>
      <c r="AC16" s="10">
        <v>-4596.8100000000004</v>
      </c>
      <c r="AD16" s="10">
        <v>15387</v>
      </c>
      <c r="AE16" s="10">
        <v>17654</v>
      </c>
      <c r="AF16" s="10">
        <v>1577</v>
      </c>
      <c r="AG16" s="10">
        <v>6071</v>
      </c>
      <c r="AH16" s="10">
        <v>15400.65</v>
      </c>
      <c r="AI16" s="10">
        <v>-7060.73</v>
      </c>
      <c r="AJ16" s="10">
        <v>7903</v>
      </c>
      <c r="AK16" s="10">
        <v>8981</v>
      </c>
      <c r="AL16" s="10">
        <v>-85334.1</v>
      </c>
      <c r="AM16" s="10">
        <v>-153630.98000000001</v>
      </c>
      <c r="AN16" s="10">
        <v>-876</v>
      </c>
      <c r="AO16" s="10">
        <v>-5886</v>
      </c>
      <c r="AP16" s="10">
        <v>-212</v>
      </c>
      <c r="AQ16" s="10">
        <v>-3260</v>
      </c>
      <c r="AR16" s="10">
        <v>28915</v>
      </c>
      <c r="AS16" s="10">
        <v>93148</v>
      </c>
      <c r="AT16" s="10">
        <v>1898</v>
      </c>
      <c r="AU16" s="10">
        <v>17060</v>
      </c>
      <c r="AV16" s="10">
        <v>5711</v>
      </c>
      <c r="AW16" s="10">
        <v>20861</v>
      </c>
      <c r="AX16" s="10">
        <v>26469</v>
      </c>
      <c r="AY16" s="10">
        <v>89811</v>
      </c>
      <c r="AZ16" s="10">
        <v>-3624</v>
      </c>
      <c r="BA16" s="10">
        <v>-126061</v>
      </c>
      <c r="BB16" s="10">
        <v>21089</v>
      </c>
      <c r="BC16" s="10">
        <v>72219</v>
      </c>
      <c r="BD16" s="10">
        <v>-51027</v>
      </c>
      <c r="BE16" s="10">
        <v>111742</v>
      </c>
      <c r="BF16" s="10">
        <v>-98761</v>
      </c>
      <c r="BG16" s="10">
        <v>-294253</v>
      </c>
      <c r="BH16" s="10">
        <v>-90235</v>
      </c>
      <c r="BI16" s="10">
        <v>-145070</v>
      </c>
      <c r="BJ16" s="10">
        <v>2567</v>
      </c>
      <c r="BK16" s="10">
        <v>16399</v>
      </c>
      <c r="BL16" s="63">
        <f t="shared" si="2"/>
        <v>87878.099999999977</v>
      </c>
      <c r="BM16" s="63">
        <f t="shared" si="3"/>
        <v>463518.73</v>
      </c>
    </row>
    <row r="17" spans="1:65" x14ac:dyDescent="0.25">
      <c r="A17" s="3" t="s">
        <v>226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76"/>
      <c r="U17" s="76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1"/>
      <c r="BK17" s="91"/>
      <c r="BL17" s="66"/>
      <c r="BM17" s="66"/>
    </row>
    <row r="18" spans="1:65" x14ac:dyDescent="0.25">
      <c r="A18" s="2" t="s">
        <v>227</v>
      </c>
      <c r="B18" s="9"/>
      <c r="C18" s="9"/>
      <c r="D18" s="76"/>
      <c r="E18" s="76">
        <v>-184</v>
      </c>
      <c r="F18" s="9"/>
      <c r="G18" s="9"/>
      <c r="H18" s="91">
        <v>813</v>
      </c>
      <c r="I18" s="91">
        <v>-13538</v>
      </c>
      <c r="J18" s="76"/>
      <c r="K18" s="76"/>
      <c r="L18" s="91">
        <v>24</v>
      </c>
      <c r="M18" s="91">
        <v>-272</v>
      </c>
      <c r="N18" s="9"/>
      <c r="O18" s="9"/>
      <c r="P18" s="76"/>
      <c r="Q18" s="76"/>
      <c r="R18" s="76"/>
      <c r="S18" s="90">
        <v>-70.8</v>
      </c>
      <c r="T18" s="91">
        <v>15.26</v>
      </c>
      <c r="U18" s="91">
        <v>-1830.69</v>
      </c>
      <c r="V18" s="76"/>
      <c r="W18" s="91">
        <v>-2967</v>
      </c>
      <c r="X18" s="91">
        <v>-888</v>
      </c>
      <c r="Y18" s="91">
        <v>-4286</v>
      </c>
      <c r="Z18" s="9"/>
      <c r="AA18" s="9">
        <v>-1515</v>
      </c>
      <c r="AB18" s="9"/>
      <c r="AC18" s="9"/>
      <c r="AD18" s="76"/>
      <c r="AE18" s="76"/>
      <c r="AF18" s="91"/>
      <c r="AG18" s="91">
        <v>-1621</v>
      </c>
      <c r="AH18" s="76"/>
      <c r="AI18" s="76"/>
      <c r="AJ18" s="91"/>
      <c r="AK18" s="91">
        <v>-1998</v>
      </c>
      <c r="AL18" s="91">
        <v>-3.33</v>
      </c>
      <c r="AM18" s="91">
        <v>-12.66</v>
      </c>
      <c r="AN18" s="9">
        <v>175</v>
      </c>
      <c r="AO18" s="91">
        <v>4</v>
      </c>
      <c r="AP18" s="9">
        <v>7</v>
      </c>
      <c r="AQ18" s="9">
        <v>7</v>
      </c>
      <c r="AR18" s="9">
        <v>-1537</v>
      </c>
      <c r="AS18" s="9"/>
      <c r="AT18" s="9"/>
      <c r="AU18" s="9"/>
      <c r="AV18" s="91">
        <v>584</v>
      </c>
      <c r="AW18" s="91">
        <v>584</v>
      </c>
      <c r="AX18" s="9"/>
      <c r="AY18" s="9"/>
      <c r="AZ18" s="9"/>
      <c r="BA18" s="9"/>
      <c r="BB18" s="9"/>
      <c r="BC18" s="9"/>
      <c r="BD18" s="91">
        <v>20</v>
      </c>
      <c r="BE18" s="91">
        <v>-2</v>
      </c>
      <c r="BF18" s="91">
        <v>-1</v>
      </c>
      <c r="BG18" s="91">
        <v>-4</v>
      </c>
      <c r="BH18" s="91">
        <v>-93</v>
      </c>
      <c r="BI18" s="91">
        <v>-139</v>
      </c>
      <c r="BJ18" s="91">
        <v>51</v>
      </c>
      <c r="BK18" s="91">
        <v>751</v>
      </c>
      <c r="BL18" s="67">
        <f>B18+D18+F18+H18+J18+L18+N18+P18+R18+T18+V18+X18+Z18+AB18+AD18+AF18+AH18+AJ18+AL18+AN18+AP18+AR18+AT18+AV18+AX18+AZ18+BB18+BD18+BF18+BH18+BJ18</f>
        <v>-833.06999999999994</v>
      </c>
      <c r="BM18" s="67">
        <f t="shared" ref="BM18:BM25" si="6">C18+E18+G18+I18+K18+M18+O18+Q18+S18+U18+W18+Y18+AA18+AC18+AE18+AG18+AI18+AK18+AM18+AO18+AQ18+AS18+AU18+AW18+AY18+BA18+BC18+BE18+BG18+BI18+BK18</f>
        <v>-27094.149999999998</v>
      </c>
    </row>
    <row r="19" spans="1:65" x14ac:dyDescent="0.25">
      <c r="A19" s="2" t="s">
        <v>228</v>
      </c>
      <c r="B19" s="9"/>
      <c r="C19" s="9"/>
      <c r="D19" s="9"/>
      <c r="E19" s="9"/>
      <c r="F19" s="91">
        <v>-20000</v>
      </c>
      <c r="G19" s="91">
        <v>-20000</v>
      </c>
      <c r="H19" s="91">
        <v>-301</v>
      </c>
      <c r="I19" s="91">
        <v>-338</v>
      </c>
      <c r="J19" s="76"/>
      <c r="K19" s="76"/>
      <c r="L19" s="91">
        <v>-5852</v>
      </c>
      <c r="M19" s="91">
        <v>-6201</v>
      </c>
      <c r="N19" s="9"/>
      <c r="O19" s="9"/>
      <c r="P19" s="90">
        <v>0.16</v>
      </c>
      <c r="Q19" s="90">
        <v>0.36</v>
      </c>
      <c r="R19" s="76"/>
      <c r="S19" s="76"/>
      <c r="T19" s="91">
        <v>7.11</v>
      </c>
      <c r="U19" s="91">
        <v>23.57</v>
      </c>
      <c r="V19" s="91">
        <v>-12</v>
      </c>
      <c r="W19" s="91">
        <v>-12</v>
      </c>
      <c r="X19" s="91">
        <v>-212</v>
      </c>
      <c r="Y19" s="91">
        <v>-468</v>
      </c>
      <c r="Z19" s="9"/>
      <c r="AA19" s="9"/>
      <c r="AB19" s="91">
        <v>0.06</v>
      </c>
      <c r="AC19" s="91">
        <v>0.12</v>
      </c>
      <c r="AD19" s="76"/>
      <c r="AE19" s="76"/>
      <c r="AF19" s="91">
        <v>-18</v>
      </c>
      <c r="AG19" s="91">
        <v>17</v>
      </c>
      <c r="AH19" s="91">
        <v>13.12</v>
      </c>
      <c r="AI19" s="91">
        <v>21.59</v>
      </c>
      <c r="AJ19" s="91">
        <v>29</v>
      </c>
      <c r="AK19" s="91">
        <v>2217</v>
      </c>
      <c r="AL19" s="91">
        <v>11461.75</v>
      </c>
      <c r="AM19" s="91">
        <v>4763.18</v>
      </c>
      <c r="AN19" s="9"/>
      <c r="AO19" s="91">
        <v>223</v>
      </c>
      <c r="AP19" s="9"/>
      <c r="AQ19" s="9"/>
      <c r="AR19" s="9">
        <v>-8742</v>
      </c>
      <c r="AS19" s="9">
        <v>59</v>
      </c>
      <c r="AT19" s="91"/>
      <c r="AU19" s="91">
        <v>-790</v>
      </c>
      <c r="AV19" s="76"/>
      <c r="AW19" s="76"/>
      <c r="AX19" s="76"/>
      <c r="AY19" s="9">
        <v>1</v>
      </c>
      <c r="AZ19" s="91">
        <v>-51</v>
      </c>
      <c r="BA19" s="91">
        <v>184</v>
      </c>
      <c r="BB19" s="91">
        <v>-537</v>
      </c>
      <c r="BC19" s="91">
        <v>-594</v>
      </c>
      <c r="BD19" s="91">
        <v>945</v>
      </c>
      <c r="BE19" s="91">
        <v>-1400</v>
      </c>
      <c r="BF19" s="91">
        <v>-362</v>
      </c>
      <c r="BG19" s="91">
        <v>-362</v>
      </c>
      <c r="BH19" s="91">
        <v>-806</v>
      </c>
      <c r="BI19" s="91">
        <v>421</v>
      </c>
      <c r="BJ19" s="9"/>
      <c r="BK19" s="9"/>
      <c r="BL19" s="67">
        <f t="shared" ref="BL19:BL25" si="7">B19+D19+F19+H19+J19+L19+N19+P19+R19+T19+V19+X19+Z19+AB19+AD19+AF19+AH19+AJ19+AL19+AN19+AP19+AR19+AT19+AV19+AX19+AZ19+BB19+BD19+BF19+BH19+BJ19</f>
        <v>-24436.799999999999</v>
      </c>
      <c r="BM19" s="67">
        <f t="shared" si="6"/>
        <v>-22234.18</v>
      </c>
    </row>
    <row r="20" spans="1:65" x14ac:dyDescent="0.25">
      <c r="A20" s="2" t="s">
        <v>47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76"/>
      <c r="AE20" s="76"/>
      <c r="AF20" s="91"/>
      <c r="AG20" s="91">
        <v>-1</v>
      </c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1"/>
      <c r="AU20" s="91">
        <v>-4000</v>
      </c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1">
        <v>62</v>
      </c>
      <c r="BG20" s="91">
        <v>141</v>
      </c>
      <c r="BH20" s="9"/>
      <c r="BI20" s="9"/>
      <c r="BJ20" s="9"/>
      <c r="BK20" s="9"/>
      <c r="BL20" s="67">
        <f t="shared" si="7"/>
        <v>62</v>
      </c>
      <c r="BM20" s="67">
        <f t="shared" si="6"/>
        <v>-3860</v>
      </c>
    </row>
    <row r="21" spans="1:65" s="7" customFormat="1" x14ac:dyDescent="0.25">
      <c r="A21" s="3" t="s">
        <v>229</v>
      </c>
      <c r="B21" s="10">
        <f>B22-B20-B19-B18</f>
        <v>20</v>
      </c>
      <c r="C21" s="10">
        <f t="shared" ref="C21:AE21" si="8">C22-C20-C19-C18</f>
        <v>130</v>
      </c>
      <c r="D21" s="10">
        <f t="shared" si="8"/>
        <v>152</v>
      </c>
      <c r="E21" s="10">
        <f t="shared" si="8"/>
        <v>436</v>
      </c>
      <c r="F21" s="10">
        <f t="shared" si="8"/>
        <v>19519</v>
      </c>
      <c r="G21" s="10">
        <f t="shared" si="8"/>
        <v>21666</v>
      </c>
      <c r="H21" s="10">
        <f t="shared" si="8"/>
        <v>1142</v>
      </c>
      <c r="I21" s="10">
        <f t="shared" si="8"/>
        <v>16757</v>
      </c>
      <c r="J21" s="10">
        <f t="shared" si="8"/>
        <v>32079</v>
      </c>
      <c r="K21" s="10">
        <f t="shared" si="8"/>
        <v>32582</v>
      </c>
      <c r="L21" s="10">
        <f t="shared" si="8"/>
        <v>21058</v>
      </c>
      <c r="M21" s="10">
        <f t="shared" si="8"/>
        <v>65552</v>
      </c>
      <c r="N21" s="10">
        <f t="shared" si="8"/>
        <v>-39</v>
      </c>
      <c r="O21" s="10">
        <f t="shared" si="8"/>
        <v>221</v>
      </c>
      <c r="P21" s="10">
        <f t="shared" si="8"/>
        <v>998.17000000000007</v>
      </c>
      <c r="Q21" s="10">
        <f t="shared" si="8"/>
        <v>1201.3500000000001</v>
      </c>
      <c r="R21" s="127">
        <f t="shared" si="8"/>
        <v>110.06</v>
      </c>
      <c r="S21" s="127">
        <f t="shared" si="8"/>
        <v>255.37</v>
      </c>
      <c r="T21" s="10">
        <f t="shared" si="8"/>
        <v>14595.17</v>
      </c>
      <c r="U21" s="10">
        <f t="shared" si="8"/>
        <v>17945.259999999998</v>
      </c>
      <c r="V21" s="10">
        <f t="shared" si="8"/>
        <v>1912</v>
      </c>
      <c r="W21" s="10">
        <f t="shared" si="8"/>
        <v>8001</v>
      </c>
      <c r="X21" s="10">
        <f t="shared" si="8"/>
        <v>77513</v>
      </c>
      <c r="Y21" s="10">
        <f t="shared" si="8"/>
        <v>86414</v>
      </c>
      <c r="Z21" s="10">
        <f t="shared" si="8"/>
        <v>221</v>
      </c>
      <c r="AA21" s="10">
        <f t="shared" si="8"/>
        <v>2038</v>
      </c>
      <c r="AB21" s="10">
        <f t="shared" si="8"/>
        <v>3621.8</v>
      </c>
      <c r="AC21" s="10">
        <f t="shared" si="8"/>
        <v>3701.54</v>
      </c>
      <c r="AD21" s="10">
        <f t="shared" si="8"/>
        <v>13801</v>
      </c>
      <c r="AE21" s="10">
        <f t="shared" si="8"/>
        <v>14275</v>
      </c>
      <c r="AF21" s="10">
        <f t="shared" ref="AF21:BK21" si="9">AF22-AF20-AF19-AF18</f>
        <v>3218</v>
      </c>
      <c r="AG21" s="10">
        <f t="shared" si="9"/>
        <v>9352</v>
      </c>
      <c r="AH21" s="10">
        <f t="shared" si="9"/>
        <v>17763.080000000002</v>
      </c>
      <c r="AI21" s="10">
        <f t="shared" si="9"/>
        <v>18513.64</v>
      </c>
      <c r="AJ21" s="10">
        <f t="shared" si="9"/>
        <v>12659</v>
      </c>
      <c r="AK21" s="10">
        <f t="shared" si="9"/>
        <v>28415</v>
      </c>
      <c r="AL21" s="10">
        <f t="shared" si="9"/>
        <v>2775.5</v>
      </c>
      <c r="AM21" s="10">
        <f t="shared" si="9"/>
        <v>9085.68</v>
      </c>
      <c r="AN21" s="10">
        <f t="shared" si="9"/>
        <v>0</v>
      </c>
      <c r="AO21" s="10">
        <f t="shared" si="9"/>
        <v>0</v>
      </c>
      <c r="AP21" s="10">
        <f t="shared" si="9"/>
        <v>1597</v>
      </c>
      <c r="AQ21" s="10">
        <f t="shared" si="9"/>
        <v>6382</v>
      </c>
      <c r="AR21" s="10">
        <f t="shared" si="9"/>
        <v>32505</v>
      </c>
      <c r="AS21" s="10">
        <f t="shared" si="9"/>
        <v>55005</v>
      </c>
      <c r="AT21" s="10">
        <f t="shared" si="9"/>
        <v>437</v>
      </c>
      <c r="AU21" s="10">
        <f t="shared" si="9"/>
        <v>4318</v>
      </c>
      <c r="AV21" s="10">
        <f t="shared" si="9"/>
        <v>911</v>
      </c>
      <c r="AW21" s="10">
        <f t="shared" si="9"/>
        <v>2479</v>
      </c>
      <c r="AX21" s="10">
        <f t="shared" si="9"/>
        <v>523</v>
      </c>
      <c r="AY21" s="10">
        <f t="shared" si="9"/>
        <v>1958</v>
      </c>
      <c r="AZ21" s="10">
        <f t="shared" si="9"/>
        <v>8003</v>
      </c>
      <c r="BA21" s="10">
        <f t="shared" si="9"/>
        <v>13419</v>
      </c>
      <c r="BB21" s="10">
        <f t="shared" si="9"/>
        <v>8370</v>
      </c>
      <c r="BC21" s="10">
        <f t="shared" si="9"/>
        <v>12132</v>
      </c>
      <c r="BD21" s="10">
        <f t="shared" si="9"/>
        <v>13850</v>
      </c>
      <c r="BE21" s="10">
        <f t="shared" si="9"/>
        <v>31311</v>
      </c>
      <c r="BF21" s="10">
        <f t="shared" si="9"/>
        <v>14668</v>
      </c>
      <c r="BG21" s="10">
        <f t="shared" si="9"/>
        <v>20659</v>
      </c>
      <c r="BH21" s="10">
        <f t="shared" si="9"/>
        <v>60664</v>
      </c>
      <c r="BI21" s="10">
        <f t="shared" si="9"/>
        <v>68202</v>
      </c>
      <c r="BJ21" s="10">
        <f>BJ22-BJ20-BJ19-BJ18</f>
        <v>334</v>
      </c>
      <c r="BK21" s="10">
        <f t="shared" si="9"/>
        <v>1320</v>
      </c>
      <c r="BL21" s="63">
        <f t="shared" si="7"/>
        <v>364980.77999999997</v>
      </c>
      <c r="BM21" s="63">
        <f t="shared" si="6"/>
        <v>553726.84000000008</v>
      </c>
    </row>
    <row r="22" spans="1:65" s="7" customFormat="1" x14ac:dyDescent="0.25">
      <c r="A22" s="3" t="s">
        <v>29</v>
      </c>
      <c r="B22" s="10">
        <v>20</v>
      </c>
      <c r="C22" s="10">
        <v>130</v>
      </c>
      <c r="D22" s="10">
        <v>152</v>
      </c>
      <c r="E22" s="10">
        <v>252</v>
      </c>
      <c r="F22" s="10">
        <v>-481</v>
      </c>
      <c r="G22" s="10">
        <v>1666</v>
      </c>
      <c r="H22" s="10">
        <v>1654</v>
      </c>
      <c r="I22" s="10">
        <v>2881</v>
      </c>
      <c r="J22" s="10">
        <v>32079</v>
      </c>
      <c r="K22" s="10">
        <v>32582</v>
      </c>
      <c r="L22" s="10">
        <v>15230</v>
      </c>
      <c r="M22" s="10">
        <v>59079</v>
      </c>
      <c r="N22" s="10">
        <v>-39</v>
      </c>
      <c r="O22" s="10">
        <v>221</v>
      </c>
      <c r="P22" s="127">
        <v>998.33</v>
      </c>
      <c r="Q22" s="127">
        <v>1201.71</v>
      </c>
      <c r="R22" s="127">
        <v>110.06</v>
      </c>
      <c r="S22" s="127">
        <v>184.57</v>
      </c>
      <c r="T22" s="10">
        <v>14617.54</v>
      </c>
      <c r="U22" s="10">
        <v>16138.14</v>
      </c>
      <c r="V22" s="10">
        <v>1900</v>
      </c>
      <c r="W22" s="10">
        <v>5022</v>
      </c>
      <c r="X22" s="10">
        <v>76413</v>
      </c>
      <c r="Y22" s="10">
        <v>81660</v>
      </c>
      <c r="Z22" s="10">
        <v>221</v>
      </c>
      <c r="AA22" s="10">
        <v>523</v>
      </c>
      <c r="AB22" s="10">
        <v>3621.86</v>
      </c>
      <c r="AC22" s="10">
        <v>3701.66</v>
      </c>
      <c r="AD22" s="10">
        <v>13801</v>
      </c>
      <c r="AE22" s="10">
        <v>14275</v>
      </c>
      <c r="AF22" s="10">
        <v>3200</v>
      </c>
      <c r="AG22" s="10">
        <v>7747</v>
      </c>
      <c r="AH22" s="10">
        <v>17776.2</v>
      </c>
      <c r="AI22" s="10">
        <v>18535.23</v>
      </c>
      <c r="AJ22" s="10">
        <v>12688</v>
      </c>
      <c r="AK22" s="10">
        <v>28634</v>
      </c>
      <c r="AL22" s="10">
        <v>14233.92</v>
      </c>
      <c r="AM22" s="10">
        <v>13836.2</v>
      </c>
      <c r="AN22" s="10">
        <v>175</v>
      </c>
      <c r="AO22" s="10">
        <v>227</v>
      </c>
      <c r="AP22" s="10">
        <v>1604</v>
      </c>
      <c r="AQ22" s="10">
        <v>6389</v>
      </c>
      <c r="AR22" s="10">
        <v>22226</v>
      </c>
      <c r="AS22" s="10">
        <v>55064</v>
      </c>
      <c r="AT22" s="10">
        <v>437</v>
      </c>
      <c r="AU22" s="10">
        <v>-472</v>
      </c>
      <c r="AV22" s="10">
        <v>1495</v>
      </c>
      <c r="AW22" s="10">
        <v>3063</v>
      </c>
      <c r="AX22" s="10">
        <v>523</v>
      </c>
      <c r="AY22" s="10">
        <v>1959</v>
      </c>
      <c r="AZ22" s="10">
        <v>7952</v>
      </c>
      <c r="BA22" s="10">
        <v>13603</v>
      </c>
      <c r="BB22" s="10">
        <v>7833</v>
      </c>
      <c r="BC22" s="10">
        <v>11538</v>
      </c>
      <c r="BD22" s="10">
        <v>14815</v>
      </c>
      <c r="BE22" s="10">
        <v>29909</v>
      </c>
      <c r="BF22" s="10">
        <v>14367</v>
      </c>
      <c r="BG22" s="10">
        <v>20434</v>
      </c>
      <c r="BH22" s="10">
        <v>59765</v>
      </c>
      <c r="BI22" s="10">
        <v>68484</v>
      </c>
      <c r="BJ22" s="10">
        <v>385</v>
      </c>
      <c r="BK22" s="10">
        <v>2071</v>
      </c>
      <c r="BL22" s="63">
        <f t="shared" si="7"/>
        <v>339772.91000000003</v>
      </c>
      <c r="BM22" s="63">
        <f t="shared" si="6"/>
        <v>500538.51000000007</v>
      </c>
    </row>
    <row r="23" spans="1:65" s="7" customFormat="1" x14ac:dyDescent="0.25">
      <c r="A23" s="3" t="s">
        <v>230</v>
      </c>
      <c r="B23" s="10">
        <f>B16-B22</f>
        <v>-6307</v>
      </c>
      <c r="C23" s="10">
        <f t="shared" ref="C23:AF23" si="10">C16-C22</f>
        <v>-38238</v>
      </c>
      <c r="D23" s="10">
        <f t="shared" si="10"/>
        <v>-2945</v>
      </c>
      <c r="E23" s="10">
        <f t="shared" si="10"/>
        <v>-31144</v>
      </c>
      <c r="F23" s="10">
        <f t="shared" si="10"/>
        <v>23618</v>
      </c>
      <c r="G23" s="10">
        <f t="shared" si="10"/>
        <v>92433</v>
      </c>
      <c r="H23" s="10">
        <f t="shared" si="10"/>
        <v>33565</v>
      </c>
      <c r="I23" s="10">
        <f t="shared" si="10"/>
        <v>179308</v>
      </c>
      <c r="J23" s="10">
        <f t="shared" si="10"/>
        <v>9833</v>
      </c>
      <c r="K23" s="10">
        <f t="shared" si="10"/>
        <v>1555</v>
      </c>
      <c r="L23" s="10">
        <f t="shared" si="10"/>
        <v>2371</v>
      </c>
      <c r="M23" s="10">
        <f t="shared" si="10"/>
        <v>10603</v>
      </c>
      <c r="N23" s="10">
        <f t="shared" si="10"/>
        <v>-9934</v>
      </c>
      <c r="O23" s="10">
        <f t="shared" si="10"/>
        <v>-29586</v>
      </c>
      <c r="P23" s="10">
        <f t="shared" si="10"/>
        <v>38444.189999999995</v>
      </c>
      <c r="Q23" s="10">
        <f t="shared" si="10"/>
        <v>116086.43</v>
      </c>
      <c r="R23" s="127">
        <f t="shared" si="10"/>
        <v>-2724.0299999999997</v>
      </c>
      <c r="S23" s="127">
        <f t="shared" si="10"/>
        <v>-10908.61</v>
      </c>
      <c r="T23" s="10">
        <f t="shared" si="10"/>
        <v>2978.8799999999974</v>
      </c>
      <c r="U23" s="10">
        <f t="shared" si="10"/>
        <v>16094.010000000002</v>
      </c>
      <c r="V23" s="10">
        <f t="shared" si="10"/>
        <v>23617</v>
      </c>
      <c r="W23" s="10">
        <f t="shared" si="10"/>
        <v>66777</v>
      </c>
      <c r="X23" s="10">
        <f t="shared" si="10"/>
        <v>41043</v>
      </c>
      <c r="Y23" s="10">
        <f t="shared" si="10"/>
        <v>168351</v>
      </c>
      <c r="Z23" s="10">
        <f t="shared" si="10"/>
        <v>-4468</v>
      </c>
      <c r="AA23" s="10">
        <f t="shared" si="10"/>
        <v>6520</v>
      </c>
      <c r="AB23" s="10">
        <f t="shared" si="10"/>
        <v>-4558.28</v>
      </c>
      <c r="AC23" s="10">
        <f t="shared" si="10"/>
        <v>-8298.4700000000012</v>
      </c>
      <c r="AD23" s="10">
        <f t="shared" si="10"/>
        <v>1586</v>
      </c>
      <c r="AE23" s="10">
        <f t="shared" si="10"/>
        <v>3379</v>
      </c>
      <c r="AF23" s="10">
        <f t="shared" si="10"/>
        <v>-1623</v>
      </c>
      <c r="AG23" s="10">
        <f t="shared" ref="AG23:BK23" si="11">AG16-AG22</f>
        <v>-1676</v>
      </c>
      <c r="AH23" s="10">
        <f t="shared" si="11"/>
        <v>-2375.5500000000011</v>
      </c>
      <c r="AI23" s="10">
        <f t="shared" si="11"/>
        <v>-25595.96</v>
      </c>
      <c r="AJ23" s="10">
        <f t="shared" si="11"/>
        <v>-4785</v>
      </c>
      <c r="AK23" s="10">
        <f t="shared" si="11"/>
        <v>-19653</v>
      </c>
      <c r="AL23" s="10">
        <f t="shared" si="11"/>
        <v>-99568.02</v>
      </c>
      <c r="AM23" s="10">
        <f t="shared" si="11"/>
        <v>-167467.18000000002</v>
      </c>
      <c r="AN23" s="10">
        <f t="shared" si="11"/>
        <v>-1051</v>
      </c>
      <c r="AO23" s="10">
        <f t="shared" si="11"/>
        <v>-6113</v>
      </c>
      <c r="AP23" s="10">
        <f t="shared" si="11"/>
        <v>-1816</v>
      </c>
      <c r="AQ23" s="10">
        <f t="shared" si="11"/>
        <v>-9649</v>
      </c>
      <c r="AR23" s="10">
        <f t="shared" si="11"/>
        <v>6689</v>
      </c>
      <c r="AS23" s="10">
        <f t="shared" si="11"/>
        <v>38084</v>
      </c>
      <c r="AT23" s="10">
        <f t="shared" si="11"/>
        <v>1461</v>
      </c>
      <c r="AU23" s="10">
        <f t="shared" si="11"/>
        <v>17532</v>
      </c>
      <c r="AV23" s="10">
        <f t="shared" si="11"/>
        <v>4216</v>
      </c>
      <c r="AW23" s="10">
        <f t="shared" si="11"/>
        <v>17798</v>
      </c>
      <c r="AX23" s="10">
        <f t="shared" si="11"/>
        <v>25946</v>
      </c>
      <c r="AY23" s="10">
        <f t="shared" si="11"/>
        <v>87852</v>
      </c>
      <c r="AZ23" s="10">
        <f t="shared" si="11"/>
        <v>-11576</v>
      </c>
      <c r="BA23" s="10">
        <f t="shared" si="11"/>
        <v>-139664</v>
      </c>
      <c r="BB23" s="10">
        <f t="shared" si="11"/>
        <v>13256</v>
      </c>
      <c r="BC23" s="10">
        <f t="shared" si="11"/>
        <v>60681</v>
      </c>
      <c r="BD23" s="10">
        <f t="shared" si="11"/>
        <v>-65842</v>
      </c>
      <c r="BE23" s="10">
        <f t="shared" si="11"/>
        <v>81833</v>
      </c>
      <c r="BF23" s="10">
        <f t="shared" si="11"/>
        <v>-113128</v>
      </c>
      <c r="BG23" s="10">
        <f t="shared" si="11"/>
        <v>-314687</v>
      </c>
      <c r="BH23" s="10">
        <f t="shared" si="11"/>
        <v>-150000</v>
      </c>
      <c r="BI23" s="10">
        <f t="shared" si="11"/>
        <v>-213554</v>
      </c>
      <c r="BJ23" s="10">
        <f t="shared" si="11"/>
        <v>2182</v>
      </c>
      <c r="BK23" s="10">
        <f t="shared" si="11"/>
        <v>14328</v>
      </c>
      <c r="BL23" s="63">
        <f t="shared" si="7"/>
        <v>-251894.81</v>
      </c>
      <c r="BM23" s="63">
        <f t="shared" si="6"/>
        <v>-37019.779999999912</v>
      </c>
    </row>
    <row r="24" spans="1:65" x14ac:dyDescent="0.25">
      <c r="A24" s="2" t="s">
        <v>232</v>
      </c>
      <c r="B24" s="9"/>
      <c r="C24" s="9"/>
      <c r="D24" s="9"/>
      <c r="E24" s="9"/>
      <c r="F24" s="91">
        <v>4042</v>
      </c>
      <c r="G24" s="91">
        <v>18603</v>
      </c>
      <c r="H24" s="91">
        <v>8768</v>
      </c>
      <c r="I24" s="91">
        <v>45397</v>
      </c>
      <c r="J24" s="91">
        <f>184+2485</f>
        <v>2669</v>
      </c>
      <c r="K24" s="91">
        <f>184+221</f>
        <v>405</v>
      </c>
      <c r="L24" s="91">
        <v>832</v>
      </c>
      <c r="M24" s="91">
        <v>2901</v>
      </c>
      <c r="N24" s="9"/>
      <c r="O24" s="9"/>
      <c r="P24" s="9">
        <f>35.8+15500+2961.41+49.88</f>
        <v>18547.09</v>
      </c>
      <c r="Q24" s="9">
        <f>35.8+25500+2984.55+49.88</f>
        <v>28570.23</v>
      </c>
      <c r="R24" s="90"/>
      <c r="S24" s="90"/>
      <c r="T24" s="91">
        <f>2833.2-2190.53</f>
        <v>642.66999999999962</v>
      </c>
      <c r="U24" s="91">
        <f>3113.77+1047.14</f>
        <v>4160.91</v>
      </c>
      <c r="V24" s="9">
        <f>5267+668</f>
        <v>5935</v>
      </c>
      <c r="W24" s="91">
        <f>15265+1499</f>
        <v>16764</v>
      </c>
      <c r="X24" s="9">
        <f>4086+5706</f>
        <v>9792</v>
      </c>
      <c r="Y24" s="9">
        <f>38550+2700</f>
        <v>41250</v>
      </c>
      <c r="Z24" s="9">
        <f>-1703+525-22+17</f>
        <v>-1183</v>
      </c>
      <c r="AA24" s="9">
        <f>275+415-22+17</f>
        <v>685</v>
      </c>
      <c r="AB24" s="9"/>
      <c r="AC24" s="9"/>
      <c r="AD24" s="9"/>
      <c r="AE24" s="9"/>
      <c r="AF24" s="91">
        <v>-416</v>
      </c>
      <c r="AG24" s="91">
        <v>-430</v>
      </c>
      <c r="AH24" s="9"/>
      <c r="AI24" s="9"/>
      <c r="AJ24" s="76"/>
      <c r="AK24" s="76"/>
      <c r="AL24" s="91"/>
      <c r="AM24" s="91">
        <v>4.24</v>
      </c>
      <c r="AN24" s="9"/>
      <c r="AO24" s="9"/>
      <c r="AP24" s="9">
        <v>-9</v>
      </c>
      <c r="AQ24" s="9">
        <v>-10</v>
      </c>
      <c r="AR24" s="9">
        <f>-1380+5182-1609</f>
        <v>2193</v>
      </c>
      <c r="AS24" s="76">
        <f>4727+5182+3946</f>
        <v>13855</v>
      </c>
      <c r="AT24" s="91">
        <v>386</v>
      </c>
      <c r="AU24" s="91">
        <v>4423</v>
      </c>
      <c r="AV24" s="9">
        <f>1081+66</f>
        <v>1147</v>
      </c>
      <c r="AW24" s="9">
        <f>4298+58+318</f>
        <v>4674</v>
      </c>
      <c r="AX24" s="91">
        <v>6388</v>
      </c>
      <c r="AY24" s="91">
        <v>21555</v>
      </c>
      <c r="AZ24" s="9">
        <f>-2919-453</f>
        <v>-3372</v>
      </c>
      <c r="BA24" s="9">
        <f>-34695-901</f>
        <v>-35596</v>
      </c>
      <c r="BB24" s="9">
        <f>3748-195</f>
        <v>3553</v>
      </c>
      <c r="BC24" s="9">
        <f>16298-1032</f>
        <v>15266</v>
      </c>
      <c r="BD24" s="9">
        <f>-7757-3350-400</f>
        <v>-11507</v>
      </c>
      <c r="BE24" s="9">
        <f>12700-420-1209</f>
        <v>11071</v>
      </c>
      <c r="BF24" s="9"/>
      <c r="BG24" s="91">
        <v>-3171</v>
      </c>
      <c r="BH24" s="9"/>
      <c r="BI24" s="9"/>
      <c r="BJ24" s="9"/>
      <c r="BK24" s="9"/>
      <c r="BL24" s="67">
        <f t="shared" si="7"/>
        <v>48407.759999999995</v>
      </c>
      <c r="BM24" s="67">
        <f t="shared" si="6"/>
        <v>190377.38</v>
      </c>
    </row>
    <row r="25" spans="1:65" s="7" customFormat="1" x14ac:dyDescent="0.25">
      <c r="A25" s="3" t="s">
        <v>231</v>
      </c>
      <c r="B25" s="10">
        <f>B23-B24</f>
        <v>-6307</v>
      </c>
      <c r="C25" s="10">
        <f t="shared" ref="C25:AF25" si="12">C23-C24</f>
        <v>-38238</v>
      </c>
      <c r="D25" s="10">
        <f t="shared" si="12"/>
        <v>-2945</v>
      </c>
      <c r="E25" s="10">
        <f t="shared" si="12"/>
        <v>-31144</v>
      </c>
      <c r="F25" s="10">
        <f t="shared" si="12"/>
        <v>19576</v>
      </c>
      <c r="G25" s="10">
        <f t="shared" si="12"/>
        <v>73830</v>
      </c>
      <c r="H25" s="10">
        <f t="shared" si="12"/>
        <v>24797</v>
      </c>
      <c r="I25" s="10">
        <f t="shared" si="12"/>
        <v>133911</v>
      </c>
      <c r="J25" s="10">
        <f t="shared" si="12"/>
        <v>7164</v>
      </c>
      <c r="K25" s="10">
        <f t="shared" si="12"/>
        <v>1150</v>
      </c>
      <c r="L25" s="10">
        <f t="shared" si="12"/>
        <v>1539</v>
      </c>
      <c r="M25" s="10">
        <f t="shared" si="12"/>
        <v>7702</v>
      </c>
      <c r="N25" s="10">
        <f t="shared" si="12"/>
        <v>-9934</v>
      </c>
      <c r="O25" s="10">
        <f t="shared" si="12"/>
        <v>-29586</v>
      </c>
      <c r="P25" s="10">
        <f t="shared" si="12"/>
        <v>19897.099999999995</v>
      </c>
      <c r="Q25" s="10">
        <f t="shared" si="12"/>
        <v>87516.2</v>
      </c>
      <c r="R25" s="127">
        <f t="shared" si="12"/>
        <v>-2724.0299999999997</v>
      </c>
      <c r="S25" s="127">
        <f t="shared" si="12"/>
        <v>-10908.61</v>
      </c>
      <c r="T25" s="10">
        <f t="shared" si="12"/>
        <v>2336.2099999999978</v>
      </c>
      <c r="U25" s="10">
        <f t="shared" si="12"/>
        <v>11933.100000000002</v>
      </c>
      <c r="V25" s="10">
        <f t="shared" si="12"/>
        <v>17682</v>
      </c>
      <c r="W25" s="10">
        <f t="shared" si="12"/>
        <v>50013</v>
      </c>
      <c r="X25" s="10">
        <f t="shared" si="12"/>
        <v>31251</v>
      </c>
      <c r="Y25" s="10">
        <f t="shared" si="12"/>
        <v>127101</v>
      </c>
      <c r="Z25" s="10">
        <f t="shared" si="12"/>
        <v>-3285</v>
      </c>
      <c r="AA25" s="10">
        <f t="shared" si="12"/>
        <v>5835</v>
      </c>
      <c r="AB25" s="10">
        <f t="shared" si="12"/>
        <v>-4558.28</v>
      </c>
      <c r="AC25" s="10">
        <f t="shared" si="12"/>
        <v>-8298.4700000000012</v>
      </c>
      <c r="AD25" s="10">
        <f t="shared" si="12"/>
        <v>1586</v>
      </c>
      <c r="AE25" s="10">
        <f t="shared" si="12"/>
        <v>3379</v>
      </c>
      <c r="AF25" s="10">
        <f t="shared" si="12"/>
        <v>-1207</v>
      </c>
      <c r="AG25" s="10">
        <f t="shared" ref="AG25:BK25" si="13">AG23-AG24</f>
        <v>-1246</v>
      </c>
      <c r="AH25" s="10">
        <f t="shared" si="13"/>
        <v>-2375.5500000000011</v>
      </c>
      <c r="AI25" s="10">
        <f t="shared" si="13"/>
        <v>-25595.96</v>
      </c>
      <c r="AJ25" s="10">
        <f t="shared" si="13"/>
        <v>-4785</v>
      </c>
      <c r="AK25" s="10">
        <f t="shared" si="13"/>
        <v>-19653</v>
      </c>
      <c r="AL25" s="10">
        <f t="shared" si="13"/>
        <v>-99568.02</v>
      </c>
      <c r="AM25" s="10">
        <f t="shared" si="13"/>
        <v>-167471.42000000001</v>
      </c>
      <c r="AN25" s="10">
        <f t="shared" si="13"/>
        <v>-1051</v>
      </c>
      <c r="AO25" s="10">
        <f t="shared" si="13"/>
        <v>-6113</v>
      </c>
      <c r="AP25" s="10">
        <f t="shared" si="13"/>
        <v>-1807</v>
      </c>
      <c r="AQ25" s="10">
        <f t="shared" si="13"/>
        <v>-9639</v>
      </c>
      <c r="AR25" s="10">
        <f t="shared" si="13"/>
        <v>4496</v>
      </c>
      <c r="AS25" s="10">
        <f t="shared" si="13"/>
        <v>24229</v>
      </c>
      <c r="AT25" s="10">
        <f t="shared" si="13"/>
        <v>1075</v>
      </c>
      <c r="AU25" s="10">
        <f t="shared" si="13"/>
        <v>13109</v>
      </c>
      <c r="AV25" s="10">
        <f t="shared" si="13"/>
        <v>3069</v>
      </c>
      <c r="AW25" s="10">
        <f t="shared" si="13"/>
        <v>13124</v>
      </c>
      <c r="AX25" s="10">
        <f t="shared" si="13"/>
        <v>19558</v>
      </c>
      <c r="AY25" s="10">
        <f t="shared" si="13"/>
        <v>66297</v>
      </c>
      <c r="AZ25" s="10">
        <f t="shared" si="13"/>
        <v>-8204</v>
      </c>
      <c r="BA25" s="10">
        <f t="shared" si="13"/>
        <v>-104068</v>
      </c>
      <c r="BB25" s="10">
        <f t="shared" si="13"/>
        <v>9703</v>
      </c>
      <c r="BC25" s="10">
        <f t="shared" si="13"/>
        <v>45415</v>
      </c>
      <c r="BD25" s="10">
        <f t="shared" si="13"/>
        <v>-54335</v>
      </c>
      <c r="BE25" s="10">
        <f t="shared" si="13"/>
        <v>70762</v>
      </c>
      <c r="BF25" s="10">
        <f t="shared" si="13"/>
        <v>-113128</v>
      </c>
      <c r="BG25" s="10">
        <f t="shared" si="13"/>
        <v>-311516</v>
      </c>
      <c r="BH25" s="10">
        <f t="shared" si="13"/>
        <v>-150000</v>
      </c>
      <c r="BI25" s="10">
        <f t="shared" si="13"/>
        <v>-213554</v>
      </c>
      <c r="BJ25" s="10">
        <f t="shared" si="13"/>
        <v>2182</v>
      </c>
      <c r="BK25" s="10">
        <f t="shared" si="13"/>
        <v>14328</v>
      </c>
      <c r="BL25" s="63">
        <f t="shared" si="7"/>
        <v>-300302.57</v>
      </c>
      <c r="BM25" s="63">
        <f t="shared" si="6"/>
        <v>-227397.15999999992</v>
      </c>
    </row>
  </sheetData>
  <mergeCells count="32">
    <mergeCell ref="B3:C3"/>
    <mergeCell ref="D3:E3"/>
    <mergeCell ref="F3:G3"/>
    <mergeCell ref="H3:I3"/>
    <mergeCell ref="V3:W3"/>
    <mergeCell ref="X3:Y3"/>
    <mergeCell ref="Z3:AA3"/>
    <mergeCell ref="AB3:AC3"/>
    <mergeCell ref="J3:K3"/>
    <mergeCell ref="L3:M3"/>
    <mergeCell ref="N3:O3"/>
    <mergeCell ref="P3:Q3"/>
    <mergeCell ref="R3:S3"/>
    <mergeCell ref="T3:U3"/>
    <mergeCell ref="AD3:AE3"/>
    <mergeCell ref="AF3:AG3"/>
    <mergeCell ref="AH3:AI3"/>
    <mergeCell ref="AJ3:AK3"/>
    <mergeCell ref="AL3:AM3"/>
    <mergeCell ref="AN3:AO3"/>
    <mergeCell ref="AP3:AQ3"/>
    <mergeCell ref="AZ3:BA3"/>
    <mergeCell ref="BB3:BC3"/>
    <mergeCell ref="BL3:BM3"/>
    <mergeCell ref="BF3:BG3"/>
    <mergeCell ref="BH3:BI3"/>
    <mergeCell ref="BJ3:BK3"/>
    <mergeCell ref="BD3:BE3"/>
    <mergeCell ref="AT3:AU3"/>
    <mergeCell ref="AV3:AW3"/>
    <mergeCell ref="AX3:AY3"/>
    <mergeCell ref="AR3:AS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5.5703125" style="71" customWidth="1"/>
    <col min="2" max="65" width="16" style="71" customWidth="1"/>
    <col min="66" max="16384" width="9.140625" style="71"/>
  </cols>
  <sheetData>
    <row r="1" spans="1:65" ht="18.75" x14ac:dyDescent="0.3">
      <c r="A1" s="12" t="s">
        <v>249</v>
      </c>
    </row>
    <row r="2" spans="1:65" x14ac:dyDescent="0.25">
      <c r="A2" s="5" t="s">
        <v>98</v>
      </c>
    </row>
    <row r="3" spans="1:65" x14ac:dyDescent="0.25">
      <c r="A3" s="176" t="s">
        <v>0</v>
      </c>
      <c r="B3" s="154" t="s">
        <v>1</v>
      </c>
      <c r="C3" s="155"/>
      <c r="D3" s="154" t="s">
        <v>234</v>
      </c>
      <c r="E3" s="155"/>
      <c r="F3" s="154" t="s">
        <v>2</v>
      </c>
      <c r="G3" s="155"/>
      <c r="H3" s="154" t="s">
        <v>3</v>
      </c>
      <c r="I3" s="155"/>
      <c r="J3" s="154" t="s">
        <v>243</v>
      </c>
      <c r="K3" s="155"/>
      <c r="L3" s="154" t="s">
        <v>235</v>
      </c>
      <c r="M3" s="155"/>
      <c r="N3" s="154" t="s">
        <v>246</v>
      </c>
      <c r="O3" s="155"/>
      <c r="P3" s="154" t="s">
        <v>5</v>
      </c>
      <c r="Q3" s="155"/>
      <c r="R3" s="154" t="s">
        <v>4</v>
      </c>
      <c r="S3" s="155"/>
      <c r="T3" s="154" t="s">
        <v>6</v>
      </c>
      <c r="U3" s="155"/>
      <c r="V3" s="154" t="s">
        <v>246</v>
      </c>
      <c r="W3" s="155"/>
      <c r="X3" s="154" t="s">
        <v>7</v>
      </c>
      <c r="Y3" s="155"/>
      <c r="Z3" s="154" t="s">
        <v>8</v>
      </c>
      <c r="AA3" s="155"/>
      <c r="AB3" s="154" t="s">
        <v>9</v>
      </c>
      <c r="AC3" s="155"/>
      <c r="AD3" s="154" t="s">
        <v>242</v>
      </c>
      <c r="AE3" s="155"/>
      <c r="AF3" s="154" t="s">
        <v>10</v>
      </c>
      <c r="AG3" s="155"/>
      <c r="AH3" s="154" t="s">
        <v>11</v>
      </c>
      <c r="AI3" s="155"/>
      <c r="AJ3" s="154" t="s">
        <v>236</v>
      </c>
      <c r="AK3" s="155"/>
      <c r="AL3" s="154" t="s">
        <v>245</v>
      </c>
      <c r="AM3" s="155"/>
      <c r="AN3" s="154" t="s">
        <v>12</v>
      </c>
      <c r="AO3" s="155"/>
      <c r="AP3" s="154" t="s">
        <v>237</v>
      </c>
      <c r="AQ3" s="155"/>
      <c r="AR3" s="154" t="s">
        <v>238</v>
      </c>
      <c r="AS3" s="155"/>
      <c r="AT3" s="154" t="s">
        <v>241</v>
      </c>
      <c r="AU3" s="155"/>
      <c r="AV3" s="154" t="s">
        <v>13</v>
      </c>
      <c r="AW3" s="155"/>
      <c r="AX3" s="154" t="s">
        <v>14</v>
      </c>
      <c r="AY3" s="155"/>
      <c r="AZ3" s="154" t="s">
        <v>15</v>
      </c>
      <c r="BA3" s="155"/>
      <c r="BB3" s="154" t="s">
        <v>16</v>
      </c>
      <c r="BC3" s="155"/>
      <c r="BD3" s="154" t="s">
        <v>17</v>
      </c>
      <c r="BE3" s="155"/>
      <c r="BF3" s="154" t="s">
        <v>239</v>
      </c>
      <c r="BG3" s="155"/>
      <c r="BH3" s="154" t="s">
        <v>240</v>
      </c>
      <c r="BI3" s="155"/>
      <c r="BJ3" s="154" t="s">
        <v>18</v>
      </c>
      <c r="BK3" s="155"/>
      <c r="BL3" s="154" t="s">
        <v>19</v>
      </c>
      <c r="BM3" s="155"/>
    </row>
    <row r="4" spans="1:65" ht="30" x14ac:dyDescent="0.25">
      <c r="A4" s="177"/>
      <c r="B4" s="53" t="s">
        <v>300</v>
      </c>
      <c r="C4" s="54" t="s">
        <v>301</v>
      </c>
      <c r="D4" s="53" t="s">
        <v>300</v>
      </c>
      <c r="E4" s="54" t="s">
        <v>301</v>
      </c>
      <c r="F4" s="53" t="s">
        <v>300</v>
      </c>
      <c r="G4" s="54" t="s">
        <v>301</v>
      </c>
      <c r="H4" s="53" t="s">
        <v>300</v>
      </c>
      <c r="I4" s="54" t="s">
        <v>301</v>
      </c>
      <c r="J4" s="53" t="s">
        <v>300</v>
      </c>
      <c r="K4" s="54" t="s">
        <v>301</v>
      </c>
      <c r="L4" s="53" t="s">
        <v>300</v>
      </c>
      <c r="M4" s="54" t="s">
        <v>301</v>
      </c>
      <c r="N4" s="53" t="s">
        <v>300</v>
      </c>
      <c r="O4" s="54" t="s">
        <v>301</v>
      </c>
      <c r="P4" s="53" t="s">
        <v>300</v>
      </c>
      <c r="Q4" s="54" t="s">
        <v>301</v>
      </c>
      <c r="R4" s="53" t="s">
        <v>300</v>
      </c>
      <c r="S4" s="54" t="s">
        <v>301</v>
      </c>
      <c r="T4" s="53" t="s">
        <v>300</v>
      </c>
      <c r="U4" s="54" t="s">
        <v>301</v>
      </c>
      <c r="V4" s="53" t="s">
        <v>300</v>
      </c>
      <c r="W4" s="54" t="s">
        <v>301</v>
      </c>
      <c r="X4" s="53" t="s">
        <v>300</v>
      </c>
      <c r="Y4" s="54" t="s">
        <v>301</v>
      </c>
      <c r="Z4" s="53" t="s">
        <v>300</v>
      </c>
      <c r="AA4" s="54" t="s">
        <v>301</v>
      </c>
      <c r="AB4" s="53" t="s">
        <v>300</v>
      </c>
      <c r="AC4" s="54" t="s">
        <v>301</v>
      </c>
      <c r="AD4" s="53" t="s">
        <v>300</v>
      </c>
      <c r="AE4" s="54" t="s">
        <v>301</v>
      </c>
      <c r="AF4" s="53" t="s">
        <v>300</v>
      </c>
      <c r="AG4" s="54" t="s">
        <v>301</v>
      </c>
      <c r="AH4" s="53" t="s">
        <v>300</v>
      </c>
      <c r="AI4" s="54" t="s">
        <v>301</v>
      </c>
      <c r="AJ4" s="53" t="s">
        <v>300</v>
      </c>
      <c r="AK4" s="54" t="s">
        <v>301</v>
      </c>
      <c r="AL4" s="53" t="s">
        <v>300</v>
      </c>
      <c r="AM4" s="54" t="s">
        <v>301</v>
      </c>
      <c r="AN4" s="53" t="s">
        <v>300</v>
      </c>
      <c r="AO4" s="54" t="s">
        <v>301</v>
      </c>
      <c r="AP4" s="53" t="s">
        <v>300</v>
      </c>
      <c r="AQ4" s="54" t="s">
        <v>301</v>
      </c>
      <c r="AR4" s="53" t="s">
        <v>300</v>
      </c>
      <c r="AS4" s="54" t="s">
        <v>301</v>
      </c>
      <c r="AT4" s="53" t="s">
        <v>300</v>
      </c>
      <c r="AU4" s="54" t="s">
        <v>301</v>
      </c>
      <c r="AV4" s="53" t="s">
        <v>300</v>
      </c>
      <c r="AW4" s="54" t="s">
        <v>301</v>
      </c>
      <c r="AX4" s="53" t="s">
        <v>300</v>
      </c>
      <c r="AY4" s="54" t="s">
        <v>301</v>
      </c>
      <c r="AZ4" s="53" t="s">
        <v>300</v>
      </c>
      <c r="BA4" s="54" t="s">
        <v>301</v>
      </c>
      <c r="BB4" s="53" t="s">
        <v>300</v>
      </c>
      <c r="BC4" s="54" t="s">
        <v>301</v>
      </c>
      <c r="BD4" s="53" t="s">
        <v>300</v>
      </c>
      <c r="BE4" s="54" t="s">
        <v>301</v>
      </c>
      <c r="BF4" s="53" t="s">
        <v>300</v>
      </c>
      <c r="BG4" s="54" t="s">
        <v>301</v>
      </c>
      <c r="BH4" s="53" t="s">
        <v>300</v>
      </c>
      <c r="BI4" s="54" t="s">
        <v>301</v>
      </c>
      <c r="BJ4" s="53" t="s">
        <v>300</v>
      </c>
      <c r="BK4" s="54" t="s">
        <v>301</v>
      </c>
      <c r="BL4" s="53" t="s">
        <v>300</v>
      </c>
      <c r="BM4" s="54" t="s">
        <v>301</v>
      </c>
    </row>
    <row r="5" spans="1:65" x14ac:dyDescent="0.25">
      <c r="A5" s="91" t="s">
        <v>250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46"/>
      <c r="AW5" s="46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</row>
    <row r="6" spans="1:65" x14ac:dyDescent="0.25">
      <c r="A6" s="91" t="s">
        <v>251</v>
      </c>
      <c r="B6" s="91">
        <v>3062</v>
      </c>
      <c r="C6" s="91">
        <v>9969</v>
      </c>
      <c r="D6" s="91"/>
      <c r="E6" s="91"/>
      <c r="F6" s="91"/>
      <c r="G6" s="91"/>
      <c r="H6" s="91">
        <v>19435</v>
      </c>
      <c r="I6" s="91">
        <v>64786</v>
      </c>
      <c r="J6" s="91"/>
      <c r="K6" s="91"/>
      <c r="L6" s="91">
        <v>1221</v>
      </c>
      <c r="M6" s="91">
        <v>4393</v>
      </c>
      <c r="N6" s="135">
        <v>19788</v>
      </c>
      <c r="O6" s="135">
        <v>57311</v>
      </c>
      <c r="P6" s="91"/>
      <c r="Q6" s="91"/>
      <c r="R6" s="91">
        <v>782.73</v>
      </c>
      <c r="S6" s="91">
        <v>1866.36</v>
      </c>
      <c r="T6" s="91">
        <v>7427.52</v>
      </c>
      <c r="U6" s="91">
        <v>21716.07</v>
      </c>
      <c r="V6" s="91"/>
      <c r="W6" s="91"/>
      <c r="X6" s="91">
        <v>9675</v>
      </c>
      <c r="Y6" s="91">
        <v>34298</v>
      </c>
      <c r="Z6" s="91">
        <v>40698</v>
      </c>
      <c r="AA6" s="91">
        <v>138025</v>
      </c>
      <c r="AB6" s="91">
        <v>21881</v>
      </c>
      <c r="AC6" s="91">
        <v>72442</v>
      </c>
      <c r="AD6" s="91">
        <v>743.45</v>
      </c>
      <c r="AE6" s="91">
        <v>1927.67</v>
      </c>
      <c r="AF6" s="91">
        <v>2648</v>
      </c>
      <c r="AG6" s="91">
        <v>5741</v>
      </c>
      <c r="AH6" s="91">
        <v>2359</v>
      </c>
      <c r="AI6" s="91">
        <v>7559</v>
      </c>
      <c r="AJ6" s="91"/>
      <c r="AK6" s="91"/>
      <c r="AL6" s="91"/>
      <c r="AM6" s="91"/>
      <c r="AN6" s="91">
        <v>52243.58</v>
      </c>
      <c r="AO6" s="91">
        <v>79637.53</v>
      </c>
      <c r="AP6" s="91">
        <v>424.51</v>
      </c>
      <c r="AQ6" s="91">
        <v>1668.17</v>
      </c>
      <c r="AR6" s="91">
        <v>225.48</v>
      </c>
      <c r="AS6" s="91">
        <v>1016.19</v>
      </c>
      <c r="AT6" s="91">
        <v>10998</v>
      </c>
      <c r="AU6" s="91">
        <v>31837</v>
      </c>
      <c r="AV6" s="151">
        <v>4250.83439</v>
      </c>
      <c r="AW6" s="151">
        <v>7514.7880800000003</v>
      </c>
      <c r="AX6" s="91">
        <v>6704.34</v>
      </c>
      <c r="AY6" s="91">
        <v>21923.25</v>
      </c>
      <c r="AZ6" s="91">
        <v>2969</v>
      </c>
      <c r="BA6" s="91">
        <v>8844</v>
      </c>
      <c r="BB6" s="91"/>
      <c r="BC6" s="91"/>
      <c r="BD6" s="91">
        <v>11268</v>
      </c>
      <c r="BE6" s="91">
        <v>31339</v>
      </c>
      <c r="BF6" s="91">
        <v>266.64999999999998</v>
      </c>
      <c r="BG6" s="91">
        <v>920.05</v>
      </c>
      <c r="BH6" s="91">
        <v>105.07</v>
      </c>
      <c r="BI6" s="91">
        <v>358.02</v>
      </c>
      <c r="BJ6" s="91">
        <v>2621129404.9899998</v>
      </c>
      <c r="BK6" s="91">
        <v>9414828321.0300007</v>
      </c>
      <c r="BL6" s="91">
        <v>13594</v>
      </c>
      <c r="BM6" s="91">
        <v>25248</v>
      </c>
    </row>
    <row r="7" spans="1:65" x14ac:dyDescent="0.25">
      <c r="A7" s="91" t="s">
        <v>250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135"/>
      <c r="O7" s="135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151"/>
      <c r="AW7" s="15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</row>
    <row r="8" spans="1:65" x14ac:dyDescent="0.25">
      <c r="A8" s="91" t="s">
        <v>252</v>
      </c>
      <c r="B8" s="91">
        <v>7558</v>
      </c>
      <c r="C8" s="91">
        <v>26411</v>
      </c>
      <c r="D8" s="91"/>
      <c r="E8" s="91"/>
      <c r="F8" s="91"/>
      <c r="G8" s="91"/>
      <c r="H8" s="91">
        <v>63466</v>
      </c>
      <c r="I8" s="91">
        <v>217786</v>
      </c>
      <c r="J8" s="91"/>
      <c r="K8" s="91"/>
      <c r="L8" s="91">
        <v>62240</v>
      </c>
      <c r="M8" s="91">
        <v>215188</v>
      </c>
      <c r="N8" s="135">
        <v>56321</v>
      </c>
      <c r="O8" s="135">
        <v>162911</v>
      </c>
      <c r="P8" s="91"/>
      <c r="Q8" s="91"/>
      <c r="R8" s="91">
        <v>2103.5</v>
      </c>
      <c r="S8" s="91">
        <v>6554.64</v>
      </c>
      <c r="T8" s="91">
        <v>22083.11</v>
      </c>
      <c r="U8" s="91">
        <v>69439.44</v>
      </c>
      <c r="V8" s="91"/>
      <c r="W8" s="91"/>
      <c r="X8" s="91">
        <v>46637</v>
      </c>
      <c r="Y8" s="91">
        <v>166893</v>
      </c>
      <c r="Z8" s="91">
        <v>90500</v>
      </c>
      <c r="AA8" s="91">
        <v>283167</v>
      </c>
      <c r="AB8" s="91">
        <v>37031</v>
      </c>
      <c r="AC8" s="91">
        <v>132830</v>
      </c>
      <c r="AD8" s="91">
        <v>4165.8100000000004</v>
      </c>
      <c r="AE8" s="91">
        <v>13353.71</v>
      </c>
      <c r="AF8" s="91">
        <v>11916</v>
      </c>
      <c r="AG8" s="91">
        <v>42366</v>
      </c>
      <c r="AH8" s="91">
        <v>25083</v>
      </c>
      <c r="AI8" s="91">
        <v>80882</v>
      </c>
      <c r="AJ8" s="91"/>
      <c r="AK8" s="91"/>
      <c r="AL8" s="91"/>
      <c r="AM8" s="91"/>
      <c r="AN8" s="91">
        <v>34990.1</v>
      </c>
      <c r="AO8" s="91">
        <v>240183.73</v>
      </c>
      <c r="AP8" s="91">
        <v>387.67</v>
      </c>
      <c r="AQ8" s="91">
        <v>1750.68</v>
      </c>
      <c r="AR8" s="91">
        <v>2133.62</v>
      </c>
      <c r="AS8" s="91">
        <v>7359.27</v>
      </c>
      <c r="AT8" s="91">
        <v>63066</v>
      </c>
      <c r="AU8" s="91">
        <v>190061</v>
      </c>
      <c r="AV8" s="151">
        <v>30582.000899999999</v>
      </c>
      <c r="AW8" s="151">
        <v>95823.479609999995</v>
      </c>
      <c r="AX8" s="91">
        <v>37772.35</v>
      </c>
      <c r="AY8" s="91">
        <v>112444.97</v>
      </c>
      <c r="AZ8" s="91">
        <v>33143</v>
      </c>
      <c r="BA8" s="91">
        <v>119116</v>
      </c>
      <c r="BB8" s="91"/>
      <c r="BC8" s="91"/>
      <c r="BD8" s="91">
        <v>78929</v>
      </c>
      <c r="BE8" s="91">
        <v>250000</v>
      </c>
      <c r="BF8" s="91">
        <v>1424.41</v>
      </c>
      <c r="BG8" s="91">
        <v>4709.5200000000004</v>
      </c>
      <c r="BH8" s="91">
        <v>625.89</v>
      </c>
      <c r="BI8" s="91">
        <v>2172.67</v>
      </c>
      <c r="BJ8" s="91">
        <v>8914552132.0100002</v>
      </c>
      <c r="BK8" s="91">
        <v>31226177558.970001</v>
      </c>
      <c r="BL8" s="91">
        <v>12237</v>
      </c>
      <c r="BM8" s="91">
        <v>39875</v>
      </c>
    </row>
    <row r="9" spans="1:65" x14ac:dyDescent="0.25">
      <c r="A9" s="91" t="s">
        <v>253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135"/>
      <c r="O9" s="135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10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151"/>
      <c r="AW9" s="15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</row>
    <row r="10" spans="1:65" s="7" customFormat="1" x14ac:dyDescent="0.25">
      <c r="A10" s="10" t="s">
        <v>254</v>
      </c>
      <c r="B10" s="10">
        <v>10620</v>
      </c>
      <c r="C10" s="10">
        <v>36380</v>
      </c>
      <c r="D10" s="10"/>
      <c r="E10" s="10"/>
      <c r="F10" s="10"/>
      <c r="G10" s="10"/>
      <c r="H10" s="10">
        <v>82901</v>
      </c>
      <c r="I10" s="10">
        <v>282572</v>
      </c>
      <c r="J10" s="10"/>
      <c r="K10" s="10"/>
      <c r="L10" s="10">
        <v>63462</v>
      </c>
      <c r="M10" s="10">
        <v>219581</v>
      </c>
      <c r="N10" s="145">
        <v>76109</v>
      </c>
      <c r="O10" s="145">
        <v>220222</v>
      </c>
      <c r="P10" s="10"/>
      <c r="Q10" s="10"/>
      <c r="R10" s="10">
        <v>2886.23</v>
      </c>
      <c r="S10" s="10">
        <v>8420.99</v>
      </c>
      <c r="T10" s="10">
        <v>29510.63</v>
      </c>
      <c r="U10" s="10">
        <v>91155.51</v>
      </c>
      <c r="V10" s="10"/>
      <c r="W10" s="10"/>
      <c r="X10" s="10">
        <v>56312</v>
      </c>
      <c r="Y10" s="10">
        <v>201191</v>
      </c>
      <c r="Z10" s="10">
        <v>131199</v>
      </c>
      <c r="AA10" s="10">
        <v>421193</v>
      </c>
      <c r="AB10" s="10">
        <v>58912</v>
      </c>
      <c r="AC10" s="10">
        <v>205272</v>
      </c>
      <c r="AD10" s="10">
        <v>4909.2700000000004</v>
      </c>
      <c r="AE10" s="10">
        <v>15281.3</v>
      </c>
      <c r="AF10" s="10">
        <v>14564</v>
      </c>
      <c r="AG10" s="10">
        <v>48107</v>
      </c>
      <c r="AH10" s="10">
        <v>27442</v>
      </c>
      <c r="AI10" s="10">
        <v>88441</v>
      </c>
      <c r="AJ10" s="10"/>
      <c r="AK10" s="10"/>
      <c r="AL10" s="10"/>
      <c r="AM10" s="10"/>
      <c r="AN10" s="10">
        <v>87233.68</v>
      </c>
      <c r="AO10" s="10">
        <v>319821.26</v>
      </c>
      <c r="AP10" s="10">
        <v>812.18</v>
      </c>
      <c r="AQ10" s="10">
        <v>3418.86</v>
      </c>
      <c r="AR10" s="10">
        <v>2359.1</v>
      </c>
      <c r="AS10" s="10">
        <v>8375.4699999999993</v>
      </c>
      <c r="AT10" s="10">
        <v>74064</v>
      </c>
      <c r="AU10" s="10">
        <v>221899</v>
      </c>
      <c r="AV10" s="152">
        <v>34832.835299999999</v>
      </c>
      <c r="AW10" s="152">
        <v>103338.26768999999</v>
      </c>
      <c r="AX10" s="10">
        <v>44476.68</v>
      </c>
      <c r="AY10" s="10">
        <v>134368.21</v>
      </c>
      <c r="AZ10" s="10">
        <v>36113</v>
      </c>
      <c r="BA10" s="10">
        <v>127960</v>
      </c>
      <c r="BB10" s="10"/>
      <c r="BC10" s="10"/>
      <c r="BD10" s="10">
        <v>90197</v>
      </c>
      <c r="BE10" s="10">
        <v>281340</v>
      </c>
      <c r="BF10" s="10">
        <v>1691.06</v>
      </c>
      <c r="BG10" s="10">
        <v>5629.57</v>
      </c>
      <c r="BH10" s="10">
        <v>730.96</v>
      </c>
      <c r="BI10" s="10">
        <v>2530.69</v>
      </c>
      <c r="BJ10" s="10">
        <f>BJ6+BJ8</f>
        <v>11535681537</v>
      </c>
      <c r="BK10" s="10">
        <f>BK6+BK8</f>
        <v>40641005880</v>
      </c>
      <c r="BL10" s="10">
        <v>25832</v>
      </c>
      <c r="BM10" s="10">
        <v>65123</v>
      </c>
    </row>
    <row r="11" spans="1:65" s="7" customFormat="1" x14ac:dyDescent="0.25">
      <c r="A11" s="10" t="s">
        <v>255</v>
      </c>
      <c r="B11" s="10">
        <v>4276</v>
      </c>
      <c r="C11" s="10">
        <v>14694</v>
      </c>
      <c r="D11" s="10"/>
      <c r="E11" s="10"/>
      <c r="F11" s="10"/>
      <c r="G11" s="10"/>
      <c r="H11" s="10">
        <v>54073</v>
      </c>
      <c r="I11" s="10">
        <v>201879</v>
      </c>
      <c r="J11" s="10"/>
      <c r="K11" s="10"/>
      <c r="L11" s="10">
        <v>35037</v>
      </c>
      <c r="M11" s="10">
        <v>123131</v>
      </c>
      <c r="N11" s="145">
        <v>24529</v>
      </c>
      <c r="O11" s="145">
        <v>80655</v>
      </c>
      <c r="P11" s="10"/>
      <c r="Q11" s="10"/>
      <c r="R11" s="10">
        <v>3035.4</v>
      </c>
      <c r="S11" s="10">
        <v>11326.83</v>
      </c>
      <c r="T11" s="10">
        <v>19767.79</v>
      </c>
      <c r="U11" s="10">
        <v>70544.66</v>
      </c>
      <c r="V11" s="10"/>
      <c r="W11" s="10"/>
      <c r="X11" s="10">
        <v>41833</v>
      </c>
      <c r="Y11" s="10">
        <v>153709</v>
      </c>
      <c r="Z11" s="10">
        <v>115324</v>
      </c>
      <c r="AA11" s="10">
        <v>406816</v>
      </c>
      <c r="AB11" s="10">
        <v>42361</v>
      </c>
      <c r="AC11" s="10">
        <v>164992</v>
      </c>
      <c r="AD11" s="10">
        <v>7959.62</v>
      </c>
      <c r="AE11" s="10">
        <v>23521.19</v>
      </c>
      <c r="AF11" s="10">
        <v>14592</v>
      </c>
      <c r="AG11" s="10">
        <v>51390</v>
      </c>
      <c r="AH11" s="10">
        <v>14080</v>
      </c>
      <c r="AI11" s="10">
        <v>43160</v>
      </c>
      <c r="AJ11" s="10"/>
      <c r="AK11" s="10"/>
      <c r="AL11" s="10"/>
      <c r="AM11" s="10"/>
      <c r="AN11" s="10">
        <v>35824.199999999997</v>
      </c>
      <c r="AO11" s="10">
        <v>144773.79999999999</v>
      </c>
      <c r="AP11" s="10">
        <v>189.51</v>
      </c>
      <c r="AQ11" s="10">
        <v>880.98</v>
      </c>
      <c r="AR11" s="10">
        <v>5474.11</v>
      </c>
      <c r="AS11" s="10">
        <v>19360.32</v>
      </c>
      <c r="AT11" s="10">
        <v>45701</v>
      </c>
      <c r="AU11" s="10">
        <v>162552</v>
      </c>
      <c r="AV11" s="152">
        <v>25909.859479999999</v>
      </c>
      <c r="AW11" s="152">
        <v>99257.815010000006</v>
      </c>
      <c r="AX11" s="10">
        <v>36010.949999999997</v>
      </c>
      <c r="AY11" s="10">
        <v>117338.76</v>
      </c>
      <c r="AZ11" s="10">
        <v>9080</v>
      </c>
      <c r="BA11" s="10">
        <v>34980</v>
      </c>
      <c r="BB11" s="10"/>
      <c r="BC11" s="10"/>
      <c r="BD11" s="10">
        <v>68085</v>
      </c>
      <c r="BE11" s="10">
        <v>231822</v>
      </c>
      <c r="BF11" s="10">
        <v>775.59</v>
      </c>
      <c r="BG11" s="10">
        <v>2610.9499999999998</v>
      </c>
      <c r="BH11" s="10">
        <v>170.8</v>
      </c>
      <c r="BI11" s="10">
        <v>875.04</v>
      </c>
      <c r="BJ11" s="10">
        <v>3804028633.4099998</v>
      </c>
      <c r="BK11" s="10">
        <v>14126546610.110001</v>
      </c>
      <c r="BL11" s="10">
        <v>21845</v>
      </c>
      <c r="BM11" s="10">
        <v>70623</v>
      </c>
    </row>
    <row r="12" spans="1:65" s="7" customFormat="1" x14ac:dyDescent="0.25">
      <c r="A12" s="10" t="s">
        <v>256</v>
      </c>
      <c r="B12" s="10">
        <v>28979</v>
      </c>
      <c r="C12" s="10">
        <v>98821</v>
      </c>
      <c r="D12" s="10"/>
      <c r="E12" s="10"/>
      <c r="F12" s="10"/>
      <c r="G12" s="10"/>
      <c r="H12" s="10">
        <v>326891</v>
      </c>
      <c r="I12" s="10">
        <v>1368859</v>
      </c>
      <c r="J12" s="10"/>
      <c r="K12" s="10"/>
      <c r="L12" s="10">
        <v>138210</v>
      </c>
      <c r="M12" s="10">
        <v>482412</v>
      </c>
      <c r="N12" s="145">
        <v>150376</v>
      </c>
      <c r="O12" s="145">
        <v>467394</v>
      </c>
      <c r="P12" s="10"/>
      <c r="Q12" s="10"/>
      <c r="R12" s="10">
        <v>8205.65</v>
      </c>
      <c r="S12" s="10">
        <v>34888.370000000003</v>
      </c>
      <c r="T12" s="10">
        <v>123197.03</v>
      </c>
      <c r="U12" s="10">
        <v>413798.23</v>
      </c>
      <c r="V12" s="10"/>
      <c r="W12" s="10"/>
      <c r="X12" s="10">
        <v>395043</v>
      </c>
      <c r="Y12" s="10">
        <v>1349755</v>
      </c>
      <c r="Z12" s="10">
        <v>466565</v>
      </c>
      <c r="AA12" s="10">
        <v>1797686</v>
      </c>
      <c r="AB12" s="10">
        <v>213842</v>
      </c>
      <c r="AC12" s="10">
        <v>845291</v>
      </c>
      <c r="AD12" s="10">
        <v>24191.599999999999</v>
      </c>
      <c r="AE12" s="10">
        <v>74246.820000000007</v>
      </c>
      <c r="AF12" s="10">
        <v>43509</v>
      </c>
      <c r="AG12" s="10">
        <v>150645</v>
      </c>
      <c r="AH12" s="10">
        <v>59825</v>
      </c>
      <c r="AI12" s="10">
        <v>175717</v>
      </c>
      <c r="AJ12" s="10"/>
      <c r="AK12" s="10"/>
      <c r="AL12" s="10"/>
      <c r="AM12" s="10"/>
      <c r="AN12" s="10">
        <v>299287.18</v>
      </c>
      <c r="AO12" s="10">
        <v>1302573.1499999999</v>
      </c>
      <c r="AP12" s="10">
        <v>4065.82</v>
      </c>
      <c r="AQ12" s="10">
        <v>10656.97</v>
      </c>
      <c r="AR12" s="10">
        <v>10424.92</v>
      </c>
      <c r="AS12" s="10">
        <v>37582.51</v>
      </c>
      <c r="AT12" s="10">
        <v>220563</v>
      </c>
      <c r="AU12" s="10">
        <v>940896</v>
      </c>
      <c r="AV12" s="152">
        <v>80141.240550000002</v>
      </c>
      <c r="AW12" s="152">
        <v>286658.74831</v>
      </c>
      <c r="AX12" s="10">
        <v>319431.12</v>
      </c>
      <c r="AY12" s="10">
        <v>916622.41</v>
      </c>
      <c r="AZ12" s="10">
        <v>48409</v>
      </c>
      <c r="BA12" s="10">
        <v>175295</v>
      </c>
      <c r="BB12" s="10"/>
      <c r="BC12" s="10"/>
      <c r="BD12" s="10">
        <v>307284</v>
      </c>
      <c r="BE12" s="10">
        <v>1002497</v>
      </c>
      <c r="BF12" s="10">
        <v>7762.76</v>
      </c>
      <c r="BG12" s="10">
        <v>32572.9</v>
      </c>
      <c r="BH12" s="10">
        <v>3106.01</v>
      </c>
      <c r="BI12" s="10">
        <v>13710.97</v>
      </c>
      <c r="BJ12" s="10">
        <v>47184162168.279999</v>
      </c>
      <c r="BK12" s="10">
        <v>157222486572.47</v>
      </c>
      <c r="BL12" s="10">
        <v>93906</v>
      </c>
      <c r="BM12" s="10">
        <v>345612</v>
      </c>
    </row>
    <row r="13" spans="1:65" x14ac:dyDescent="0.25">
      <c r="N13" s="140"/>
      <c r="O13" s="140"/>
    </row>
  </sheetData>
  <mergeCells count="33">
    <mergeCell ref="A3:A4"/>
    <mergeCell ref="BD3:BE3"/>
    <mergeCell ref="BF3:BG3"/>
    <mergeCell ref="BH3:BI3"/>
    <mergeCell ref="BJ3:BK3"/>
    <mergeCell ref="AF3:AG3"/>
    <mergeCell ref="AH3:AI3"/>
    <mergeCell ref="AJ3:AK3"/>
    <mergeCell ref="AL3:AM3"/>
    <mergeCell ref="AN3:AO3"/>
    <mergeCell ref="AP3:AQ3"/>
    <mergeCell ref="N3:O3"/>
    <mergeCell ref="P3:Q3"/>
    <mergeCell ref="X3:Y3"/>
    <mergeCell ref="Z3:AA3"/>
    <mergeCell ref="AB3:AC3"/>
    <mergeCell ref="BL3:BM3"/>
    <mergeCell ref="AR3:AS3"/>
    <mergeCell ref="AT3:AU3"/>
    <mergeCell ref="AV3:AW3"/>
    <mergeCell ref="AX3:AY3"/>
    <mergeCell ref="AZ3:BA3"/>
    <mergeCell ref="BB3:BC3"/>
    <mergeCell ref="AD3:AE3"/>
    <mergeCell ref="B3:C3"/>
    <mergeCell ref="D3:E3"/>
    <mergeCell ref="F3:G3"/>
    <mergeCell ref="H3:I3"/>
    <mergeCell ref="J3:K3"/>
    <mergeCell ref="L3:M3"/>
    <mergeCell ref="V3:W3"/>
    <mergeCell ref="R3:S3"/>
    <mergeCell ref="T3:U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6.7109375" style="71" customWidth="1"/>
    <col min="2" max="32" width="16" style="71" customWidth="1"/>
    <col min="33" max="33" width="16" style="7" customWidth="1"/>
    <col min="34" max="16384" width="9.140625" style="71"/>
  </cols>
  <sheetData>
    <row r="1" spans="1:33" ht="18.75" x14ac:dyDescent="0.3">
      <c r="A1" s="12" t="s">
        <v>311</v>
      </c>
    </row>
    <row r="2" spans="1:33" x14ac:dyDescent="0.25">
      <c r="A2" s="13" t="s">
        <v>98</v>
      </c>
    </row>
    <row r="3" spans="1:33" x14ac:dyDescent="0.25">
      <c r="A3" s="1" t="s">
        <v>0</v>
      </c>
      <c r="B3" s="70" t="s">
        <v>1</v>
      </c>
      <c r="C3" s="70" t="s">
        <v>234</v>
      </c>
      <c r="D3" s="70" t="s">
        <v>2</v>
      </c>
      <c r="E3" s="70" t="s">
        <v>3</v>
      </c>
      <c r="F3" s="70" t="s">
        <v>243</v>
      </c>
      <c r="G3" s="103" t="s">
        <v>235</v>
      </c>
      <c r="H3" s="106" t="s">
        <v>246</v>
      </c>
      <c r="I3" s="103" t="s">
        <v>5</v>
      </c>
      <c r="J3" s="103" t="s">
        <v>4</v>
      </c>
      <c r="K3" s="103" t="s">
        <v>6</v>
      </c>
      <c r="L3" s="103" t="s">
        <v>7</v>
      </c>
      <c r="M3" s="103" t="s">
        <v>8</v>
      </c>
      <c r="N3" s="103" t="s">
        <v>9</v>
      </c>
      <c r="O3" s="103" t="s">
        <v>242</v>
      </c>
      <c r="P3" s="103" t="s">
        <v>10</v>
      </c>
      <c r="Q3" s="103" t="s">
        <v>11</v>
      </c>
      <c r="R3" s="103" t="s">
        <v>236</v>
      </c>
      <c r="S3" s="103" t="s">
        <v>245</v>
      </c>
      <c r="T3" s="103" t="s">
        <v>12</v>
      </c>
      <c r="U3" s="103" t="s">
        <v>237</v>
      </c>
      <c r="V3" s="103" t="s">
        <v>238</v>
      </c>
      <c r="W3" s="103" t="s">
        <v>241</v>
      </c>
      <c r="X3" s="70" t="s">
        <v>13</v>
      </c>
      <c r="Y3" s="70" t="s">
        <v>14</v>
      </c>
      <c r="Z3" s="70" t="s">
        <v>15</v>
      </c>
      <c r="AA3" s="70" t="s">
        <v>16</v>
      </c>
      <c r="AB3" s="70" t="s">
        <v>17</v>
      </c>
      <c r="AC3" s="79" t="s">
        <v>239</v>
      </c>
      <c r="AD3" s="79" t="s">
        <v>240</v>
      </c>
      <c r="AE3" s="79" t="s">
        <v>18</v>
      </c>
      <c r="AF3" s="70" t="s">
        <v>19</v>
      </c>
      <c r="AG3" s="78" t="s">
        <v>20</v>
      </c>
    </row>
    <row r="4" spans="1:33" x14ac:dyDescent="0.25">
      <c r="A4" s="3" t="s">
        <v>194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63"/>
    </row>
    <row r="5" spans="1:33" x14ac:dyDescent="0.25">
      <c r="A5" s="20" t="s">
        <v>195</v>
      </c>
      <c r="B5" s="76">
        <v>114600</v>
      </c>
      <c r="C5" s="76">
        <v>43512</v>
      </c>
      <c r="D5" s="76">
        <v>20000</v>
      </c>
      <c r="E5" s="76">
        <v>11023</v>
      </c>
      <c r="F5" s="76">
        <v>90857</v>
      </c>
      <c r="G5" s="76">
        <v>29881</v>
      </c>
      <c r="H5" s="76">
        <v>85901</v>
      </c>
      <c r="I5" s="76">
        <v>395000</v>
      </c>
      <c r="J5" s="76">
        <v>51300</v>
      </c>
      <c r="K5" s="76">
        <v>90480.37</v>
      </c>
      <c r="L5" s="76">
        <v>71278</v>
      </c>
      <c r="M5" s="76">
        <v>49089</v>
      </c>
      <c r="N5" s="76">
        <v>28025</v>
      </c>
      <c r="O5" s="76">
        <v>45500</v>
      </c>
      <c r="P5" s="76">
        <v>108623</v>
      </c>
      <c r="Q5" s="76">
        <v>15471</v>
      </c>
      <c r="R5" s="76">
        <v>111761.86</v>
      </c>
      <c r="S5" s="76">
        <v>140860</v>
      </c>
      <c r="T5" s="76">
        <v>937500</v>
      </c>
      <c r="U5" s="76">
        <v>49579</v>
      </c>
      <c r="V5" s="76">
        <v>29604</v>
      </c>
      <c r="W5" s="76">
        <v>25181</v>
      </c>
      <c r="X5" s="76">
        <v>44900</v>
      </c>
      <c r="Y5" s="76">
        <v>21562</v>
      </c>
      <c r="Z5" s="76">
        <v>25916</v>
      </c>
      <c r="AA5" s="76">
        <v>57552</v>
      </c>
      <c r="AB5" s="76">
        <v>99446</v>
      </c>
      <c r="AC5" s="76">
        <v>82400</v>
      </c>
      <c r="AD5" s="76">
        <v>462000</v>
      </c>
      <c r="AE5" s="76">
        <v>390500</v>
      </c>
      <c r="AF5" s="76">
        <v>36818</v>
      </c>
      <c r="AG5" s="64">
        <f t="shared" ref="AG5:AG12" si="0">SUM(B5:AF5)</f>
        <v>3766120.2300000004</v>
      </c>
    </row>
    <row r="6" spans="1:33" x14ac:dyDescent="0.25">
      <c r="A6" s="20" t="s">
        <v>196</v>
      </c>
      <c r="B6" s="76">
        <v>918</v>
      </c>
      <c r="C6" s="76">
        <v>138288</v>
      </c>
      <c r="D6" s="76">
        <v>517230</v>
      </c>
      <c r="E6" s="76">
        <v>823838</v>
      </c>
      <c r="F6" s="76">
        <v>38063</v>
      </c>
      <c r="G6" s="76">
        <v>166278</v>
      </c>
      <c r="H6" s="76">
        <v>197507</v>
      </c>
      <c r="I6" s="76">
        <v>389088.49</v>
      </c>
      <c r="J6" s="76"/>
      <c r="K6" s="76">
        <v>33203.68</v>
      </c>
      <c r="L6" s="76">
        <v>279941</v>
      </c>
      <c r="M6" s="76">
        <v>861876</v>
      </c>
      <c r="N6" s="76">
        <v>295585</v>
      </c>
      <c r="O6" s="76"/>
      <c r="P6" s="76">
        <v>74812</v>
      </c>
      <c r="Q6" s="76">
        <v>27803</v>
      </c>
      <c r="R6" s="76">
        <v>35414.639999999999</v>
      </c>
      <c r="S6" s="76">
        <v>12540</v>
      </c>
      <c r="T6" s="76">
        <v>1530.03</v>
      </c>
      <c r="U6" s="76"/>
      <c r="V6" s="76">
        <v>14609</v>
      </c>
      <c r="W6" s="76">
        <v>204802</v>
      </c>
      <c r="X6" s="76">
        <v>101064</v>
      </c>
      <c r="Y6" s="76">
        <v>265827</v>
      </c>
      <c r="Z6" s="76">
        <v>209809</v>
      </c>
      <c r="AA6" s="76">
        <v>571806</v>
      </c>
      <c r="AB6" s="76">
        <v>244409</v>
      </c>
      <c r="AC6" s="76">
        <v>1822792</v>
      </c>
      <c r="AD6" s="76">
        <v>26</v>
      </c>
      <c r="AE6" s="76">
        <v>13252</v>
      </c>
      <c r="AF6" s="76">
        <v>76057</v>
      </c>
      <c r="AG6" s="64">
        <f t="shared" si="0"/>
        <v>7418368.8399999999</v>
      </c>
    </row>
    <row r="7" spans="1:33" x14ac:dyDescent="0.25">
      <c r="A7" s="20" t="s">
        <v>297</v>
      </c>
      <c r="B7" s="91"/>
      <c r="C7" s="91"/>
      <c r="D7" s="91">
        <v>371</v>
      </c>
      <c r="E7" s="91">
        <v>14844</v>
      </c>
      <c r="F7" s="91">
        <v>-57</v>
      </c>
      <c r="G7" s="91">
        <v>382</v>
      </c>
      <c r="H7" s="91">
        <v>8440</v>
      </c>
      <c r="I7" s="91">
        <v>31187.02</v>
      </c>
      <c r="J7" s="91">
        <v>69</v>
      </c>
      <c r="K7" s="91">
        <v>5.0599999999999996</v>
      </c>
      <c r="L7" s="91">
        <v>1320</v>
      </c>
      <c r="M7" s="91">
        <v>8306</v>
      </c>
      <c r="N7" s="91">
        <v>25</v>
      </c>
      <c r="O7" s="91">
        <v>31.32</v>
      </c>
      <c r="P7" s="91">
        <v>7</v>
      </c>
      <c r="Q7" s="91">
        <v>1</v>
      </c>
      <c r="R7" s="91">
        <v>1.52</v>
      </c>
      <c r="S7" s="91">
        <v>-200</v>
      </c>
      <c r="T7" s="91">
        <v>25585.05</v>
      </c>
      <c r="U7" s="91"/>
      <c r="V7" s="91">
        <v>0</v>
      </c>
      <c r="W7" s="91">
        <v>1041</v>
      </c>
      <c r="X7" s="91">
        <v>2025</v>
      </c>
      <c r="Y7" s="91">
        <v>9871</v>
      </c>
      <c r="Z7" s="91">
        <v>-1425</v>
      </c>
      <c r="AA7" s="91">
        <v>1054</v>
      </c>
      <c r="AB7" s="91">
        <v>14970</v>
      </c>
      <c r="AC7" s="91">
        <v>591074</v>
      </c>
      <c r="AD7" s="91">
        <v>13880</v>
      </c>
      <c r="AE7" s="91">
        <v>20645</v>
      </c>
      <c r="AF7" s="91">
        <v>66</v>
      </c>
      <c r="AG7" s="64">
        <f t="shared" si="0"/>
        <v>743518.97</v>
      </c>
    </row>
    <row r="8" spans="1:33" x14ac:dyDescent="0.25">
      <c r="A8" s="20" t="s">
        <v>298</v>
      </c>
      <c r="B8" s="91">
        <v>1</v>
      </c>
      <c r="C8" s="91">
        <v>7</v>
      </c>
      <c r="D8" s="91">
        <v>1153</v>
      </c>
      <c r="E8" s="91">
        <v>32517</v>
      </c>
      <c r="F8" s="91">
        <v>11</v>
      </c>
      <c r="G8" s="91">
        <v>2581</v>
      </c>
      <c r="H8" s="91">
        <v>53</v>
      </c>
      <c r="I8" s="91">
        <v>38117.47</v>
      </c>
      <c r="J8" s="91">
        <v>-55</v>
      </c>
      <c r="K8" s="91">
        <v>18.489999999999998</v>
      </c>
      <c r="L8" s="91">
        <v>5209</v>
      </c>
      <c r="M8" s="91">
        <v>27624</v>
      </c>
      <c r="N8" s="91">
        <v>108</v>
      </c>
      <c r="O8" s="91">
        <v>136.86000000000001</v>
      </c>
      <c r="P8" s="91">
        <v>22</v>
      </c>
      <c r="Q8" s="91">
        <v>8</v>
      </c>
      <c r="R8" s="91">
        <v>1.18</v>
      </c>
      <c r="S8" s="91">
        <v>1</v>
      </c>
      <c r="T8" s="91">
        <v>243653.93</v>
      </c>
      <c r="U8" s="91"/>
      <c r="V8" s="91">
        <v>1</v>
      </c>
      <c r="W8" s="91">
        <v>4254</v>
      </c>
      <c r="X8" s="91">
        <v>9865</v>
      </c>
      <c r="Y8" s="91">
        <v>9</v>
      </c>
      <c r="Z8" s="91"/>
      <c r="AA8" s="91">
        <v>1614</v>
      </c>
      <c r="AB8" s="91">
        <v>89679</v>
      </c>
      <c r="AC8" s="91">
        <v>1404887</v>
      </c>
      <c r="AD8" s="91">
        <v>552646</v>
      </c>
      <c r="AE8" s="91">
        <v>295992</v>
      </c>
      <c r="AF8" s="91">
        <v>255</v>
      </c>
      <c r="AG8" s="64">
        <f t="shared" si="0"/>
        <v>2710369.9299999997</v>
      </c>
    </row>
    <row r="9" spans="1:33" s="32" customFormat="1" x14ac:dyDescent="0.25">
      <c r="A9" s="14" t="s">
        <v>197</v>
      </c>
      <c r="B9" s="31">
        <f>B7+B8</f>
        <v>1</v>
      </c>
      <c r="C9" s="31">
        <f t="shared" ref="C9:AF9" si="1">C7+C8</f>
        <v>7</v>
      </c>
      <c r="D9" s="31">
        <f t="shared" si="1"/>
        <v>1524</v>
      </c>
      <c r="E9" s="31">
        <f t="shared" si="1"/>
        <v>47361</v>
      </c>
      <c r="F9" s="31">
        <f t="shared" si="1"/>
        <v>-46</v>
      </c>
      <c r="G9" s="31">
        <f t="shared" si="1"/>
        <v>2963</v>
      </c>
      <c r="H9" s="31">
        <f t="shared" si="1"/>
        <v>8493</v>
      </c>
      <c r="I9" s="31">
        <f t="shared" si="1"/>
        <v>69304.490000000005</v>
      </c>
      <c r="J9" s="31">
        <f t="shared" si="1"/>
        <v>14</v>
      </c>
      <c r="K9" s="31">
        <f t="shared" si="1"/>
        <v>23.549999999999997</v>
      </c>
      <c r="L9" s="31">
        <f t="shared" si="1"/>
        <v>6529</v>
      </c>
      <c r="M9" s="31">
        <f t="shared" si="1"/>
        <v>35930</v>
      </c>
      <c r="N9" s="31">
        <f t="shared" si="1"/>
        <v>133</v>
      </c>
      <c r="O9" s="31">
        <f t="shared" si="1"/>
        <v>168.18</v>
      </c>
      <c r="P9" s="31">
        <f t="shared" si="1"/>
        <v>29</v>
      </c>
      <c r="Q9" s="31">
        <f t="shared" si="1"/>
        <v>9</v>
      </c>
      <c r="R9" s="31">
        <f t="shared" si="1"/>
        <v>2.7</v>
      </c>
      <c r="S9" s="31">
        <f t="shared" si="1"/>
        <v>-199</v>
      </c>
      <c r="T9" s="31">
        <f t="shared" si="1"/>
        <v>269238.98</v>
      </c>
      <c r="U9" s="31">
        <f t="shared" si="1"/>
        <v>0</v>
      </c>
      <c r="V9" s="31">
        <f t="shared" si="1"/>
        <v>1</v>
      </c>
      <c r="W9" s="31">
        <f t="shared" si="1"/>
        <v>5295</v>
      </c>
      <c r="X9" s="31">
        <f t="shared" si="1"/>
        <v>11890</v>
      </c>
      <c r="Y9" s="31">
        <f t="shared" si="1"/>
        <v>9880</v>
      </c>
      <c r="Z9" s="31">
        <f t="shared" si="1"/>
        <v>-1425</v>
      </c>
      <c r="AA9" s="31">
        <f t="shared" si="1"/>
        <v>2668</v>
      </c>
      <c r="AB9" s="31">
        <f t="shared" si="1"/>
        <v>104649</v>
      </c>
      <c r="AC9" s="31">
        <f t="shared" si="1"/>
        <v>1995961</v>
      </c>
      <c r="AD9" s="31">
        <f t="shared" si="1"/>
        <v>566526</v>
      </c>
      <c r="AE9" s="31">
        <f t="shared" si="1"/>
        <v>316637</v>
      </c>
      <c r="AF9" s="31">
        <f t="shared" si="1"/>
        <v>321</v>
      </c>
      <c r="AG9" s="65">
        <f t="shared" si="0"/>
        <v>3453888.9</v>
      </c>
    </row>
    <row r="10" spans="1:33" x14ac:dyDescent="0.25">
      <c r="A10" s="20" t="s">
        <v>198</v>
      </c>
      <c r="B10" s="76"/>
      <c r="C10" s="76"/>
      <c r="D10" s="76"/>
      <c r="E10" s="76"/>
      <c r="F10" s="76"/>
      <c r="G10" s="76">
        <v>10000</v>
      </c>
      <c r="H10" s="76"/>
      <c r="I10" s="76"/>
      <c r="J10" s="76"/>
      <c r="K10" s="76"/>
      <c r="L10" s="76">
        <v>52900</v>
      </c>
      <c r="M10" s="76">
        <v>25500</v>
      </c>
      <c r="N10" s="76"/>
      <c r="O10" s="76"/>
      <c r="P10" s="76"/>
      <c r="Q10" s="76">
        <v>10021</v>
      </c>
      <c r="R10" s="76">
        <v>11100</v>
      </c>
      <c r="S10" s="76">
        <v>25000</v>
      </c>
      <c r="T10" s="76">
        <v>89500</v>
      </c>
      <c r="U10" s="76"/>
      <c r="V10" s="76"/>
      <c r="W10" s="76">
        <v>23000</v>
      </c>
      <c r="X10" s="76">
        <v>12600</v>
      </c>
      <c r="Y10" s="76"/>
      <c r="Z10" s="76"/>
      <c r="AA10" s="76">
        <v>72000</v>
      </c>
      <c r="AB10" s="76">
        <v>18500</v>
      </c>
      <c r="AC10" s="76"/>
      <c r="AD10" s="76">
        <v>75000</v>
      </c>
      <c r="AE10" s="76">
        <v>90000</v>
      </c>
      <c r="AF10" s="76"/>
      <c r="AG10" s="64">
        <f t="shared" si="0"/>
        <v>515121</v>
      </c>
    </row>
    <row r="11" spans="1:33" x14ac:dyDescent="0.25">
      <c r="A11" s="20" t="s">
        <v>31</v>
      </c>
      <c r="B11" s="76">
        <f>B12-B10-B9-B6-B5</f>
        <v>0</v>
      </c>
      <c r="C11" s="76">
        <f t="shared" ref="C11:AF11" si="2">C12-C10-C9-C6-C5</f>
        <v>0</v>
      </c>
      <c r="D11" s="76">
        <f t="shared" si="2"/>
        <v>0</v>
      </c>
      <c r="E11" s="76">
        <f t="shared" si="2"/>
        <v>0</v>
      </c>
      <c r="F11" s="76">
        <f t="shared" si="2"/>
        <v>0</v>
      </c>
      <c r="G11" s="76">
        <f t="shared" si="2"/>
        <v>0</v>
      </c>
      <c r="H11" s="76">
        <f t="shared" si="2"/>
        <v>0</v>
      </c>
      <c r="I11" s="76">
        <f t="shared" si="2"/>
        <v>0</v>
      </c>
      <c r="J11" s="76">
        <f t="shared" si="2"/>
        <v>0</v>
      </c>
      <c r="K11" s="76">
        <f t="shared" si="2"/>
        <v>2706.6100000000151</v>
      </c>
      <c r="L11" s="76">
        <f t="shared" si="2"/>
        <v>0</v>
      </c>
      <c r="M11" s="76">
        <f t="shared" si="2"/>
        <v>0</v>
      </c>
      <c r="N11" s="76">
        <f t="shared" si="2"/>
        <v>0</v>
      </c>
      <c r="O11" s="76">
        <f t="shared" si="2"/>
        <v>0</v>
      </c>
      <c r="P11" s="76">
        <f t="shared" si="2"/>
        <v>0</v>
      </c>
      <c r="Q11" s="76">
        <f t="shared" si="2"/>
        <v>470</v>
      </c>
      <c r="R11" s="76">
        <f t="shared" si="2"/>
        <v>0</v>
      </c>
      <c r="S11" s="76">
        <f t="shared" si="2"/>
        <v>0</v>
      </c>
      <c r="T11" s="76">
        <f t="shared" si="2"/>
        <v>0</v>
      </c>
      <c r="U11" s="76">
        <f t="shared" si="2"/>
        <v>0</v>
      </c>
      <c r="V11" s="76">
        <f t="shared" si="2"/>
        <v>1</v>
      </c>
      <c r="W11" s="76">
        <f t="shared" si="2"/>
        <v>-1</v>
      </c>
      <c r="X11" s="76">
        <f t="shared" si="2"/>
        <v>0</v>
      </c>
      <c r="Y11" s="76">
        <f t="shared" si="2"/>
        <v>1</v>
      </c>
      <c r="Z11" s="76">
        <f t="shared" si="2"/>
        <v>0</v>
      </c>
      <c r="AA11" s="76">
        <f t="shared" si="2"/>
        <v>7568</v>
      </c>
      <c r="AB11" s="76">
        <f t="shared" si="2"/>
        <v>-1</v>
      </c>
      <c r="AC11" s="76">
        <f t="shared" si="2"/>
        <v>0</v>
      </c>
      <c r="AD11" s="76">
        <f t="shared" si="2"/>
        <v>-1</v>
      </c>
      <c r="AE11" s="76">
        <f t="shared" si="2"/>
        <v>0</v>
      </c>
      <c r="AF11" s="76">
        <f t="shared" si="2"/>
        <v>0</v>
      </c>
      <c r="AG11" s="64">
        <f t="shared" si="0"/>
        <v>10743.610000000015</v>
      </c>
    </row>
    <row r="12" spans="1:33" s="7" customFormat="1" x14ac:dyDescent="0.25">
      <c r="A12" s="3" t="s">
        <v>40</v>
      </c>
      <c r="B12" s="10">
        <v>115519</v>
      </c>
      <c r="C12" s="10">
        <v>181807</v>
      </c>
      <c r="D12" s="10">
        <v>538754</v>
      </c>
      <c r="E12" s="10">
        <v>882222</v>
      </c>
      <c r="F12" s="10">
        <v>128874</v>
      </c>
      <c r="G12" s="10">
        <v>209122</v>
      </c>
      <c r="H12" s="10">
        <v>291901</v>
      </c>
      <c r="I12" s="10">
        <v>853392.98</v>
      </c>
      <c r="J12" s="10">
        <v>51314</v>
      </c>
      <c r="K12" s="10">
        <v>126414.21</v>
      </c>
      <c r="L12" s="10">
        <v>410648</v>
      </c>
      <c r="M12" s="10">
        <v>972395</v>
      </c>
      <c r="N12" s="10">
        <v>323743</v>
      </c>
      <c r="O12" s="10">
        <v>45668.18</v>
      </c>
      <c r="P12" s="10">
        <v>183464</v>
      </c>
      <c r="Q12" s="10">
        <v>53774</v>
      </c>
      <c r="R12" s="10">
        <v>158279.20000000001</v>
      </c>
      <c r="S12" s="10">
        <v>178201</v>
      </c>
      <c r="T12" s="10">
        <v>1297769.01</v>
      </c>
      <c r="U12" s="10">
        <v>49579</v>
      </c>
      <c r="V12" s="10">
        <v>44215</v>
      </c>
      <c r="W12" s="10">
        <v>258277</v>
      </c>
      <c r="X12" s="10">
        <v>170454</v>
      </c>
      <c r="Y12" s="10">
        <v>297270</v>
      </c>
      <c r="Z12" s="10">
        <v>234300</v>
      </c>
      <c r="AA12" s="10">
        <v>711594</v>
      </c>
      <c r="AB12" s="10">
        <v>467003</v>
      </c>
      <c r="AC12" s="10">
        <v>3901153</v>
      </c>
      <c r="AD12" s="10">
        <v>1103551</v>
      </c>
      <c r="AE12" s="10">
        <v>810389</v>
      </c>
      <c r="AF12" s="10">
        <v>113196</v>
      </c>
      <c r="AG12" s="63">
        <f t="shared" si="0"/>
        <v>15164242.579999998</v>
      </c>
    </row>
    <row r="13" spans="1:33" s="7" customFormat="1" x14ac:dyDescent="0.25">
      <c r="A13" s="3" t="s">
        <v>199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63"/>
    </row>
    <row r="14" spans="1:33" x14ac:dyDescent="0.25">
      <c r="A14" s="20" t="s">
        <v>200</v>
      </c>
      <c r="B14" s="76">
        <v>24810</v>
      </c>
      <c r="C14" s="76">
        <v>34464</v>
      </c>
      <c r="D14" s="76">
        <v>296294</v>
      </c>
      <c r="E14" s="76">
        <v>609217</v>
      </c>
      <c r="F14" s="76">
        <v>110564</v>
      </c>
      <c r="G14" s="76">
        <v>161702</v>
      </c>
      <c r="H14" s="76">
        <v>160143</v>
      </c>
      <c r="I14" s="76">
        <v>608696.16</v>
      </c>
      <c r="J14" s="76">
        <v>9609</v>
      </c>
      <c r="K14" s="76">
        <v>122996.79</v>
      </c>
      <c r="L14" s="76">
        <v>372046</v>
      </c>
      <c r="M14" s="76">
        <v>891787</v>
      </c>
      <c r="N14" s="76">
        <v>255260</v>
      </c>
      <c r="O14" s="76">
        <v>21129.24</v>
      </c>
      <c r="P14" s="76">
        <v>86572</v>
      </c>
      <c r="Q14" s="76">
        <v>48273</v>
      </c>
      <c r="R14" s="76">
        <v>27971.9</v>
      </c>
      <c r="S14" s="76">
        <v>86962</v>
      </c>
      <c r="T14" s="76">
        <v>317304.46999999997</v>
      </c>
      <c r="U14" s="76">
        <v>18365</v>
      </c>
      <c r="V14" s="76">
        <v>20222</v>
      </c>
      <c r="W14" s="76">
        <v>285836</v>
      </c>
      <c r="X14" s="76">
        <v>120975</v>
      </c>
      <c r="Y14" s="76">
        <v>249826</v>
      </c>
      <c r="Z14" s="76">
        <v>149638</v>
      </c>
      <c r="AA14" s="76">
        <v>449387</v>
      </c>
      <c r="AB14" s="76">
        <v>320897</v>
      </c>
      <c r="AC14" s="76">
        <v>2164759</v>
      </c>
      <c r="AD14" s="76">
        <v>2667734</v>
      </c>
      <c r="AE14" s="76">
        <v>233687</v>
      </c>
      <c r="AF14" s="76">
        <v>76084</v>
      </c>
      <c r="AG14" s="64">
        <f t="shared" ref="AG14:AG19" si="3">SUM(B14:AF14)</f>
        <v>11003211.560000001</v>
      </c>
    </row>
    <row r="15" spans="1:33" x14ac:dyDescent="0.25">
      <c r="A15" s="20" t="s">
        <v>201</v>
      </c>
      <c r="B15" s="76">
        <v>65970</v>
      </c>
      <c r="C15" s="76">
        <f>-150+118090</f>
        <v>117940</v>
      </c>
      <c r="D15" s="76">
        <v>919577</v>
      </c>
      <c r="E15" s="76">
        <v>1813579</v>
      </c>
      <c r="F15" s="76">
        <v>246044</v>
      </c>
      <c r="G15" s="76">
        <v>1091679</v>
      </c>
      <c r="H15" s="76">
        <v>764593</v>
      </c>
      <c r="I15" s="76">
        <v>743961.97</v>
      </c>
      <c r="J15" s="76">
        <v>34754</v>
      </c>
      <c r="K15" s="76">
        <v>449631.57</v>
      </c>
      <c r="L15" s="76">
        <v>1467659</v>
      </c>
      <c r="M15" s="76">
        <v>2986837</v>
      </c>
      <c r="N15" s="76">
        <v>1089360</v>
      </c>
      <c r="O15" s="76">
        <v>101983.33</v>
      </c>
      <c r="P15" s="76">
        <v>244887</v>
      </c>
      <c r="Q15" s="76">
        <v>336174</v>
      </c>
      <c r="R15" s="76">
        <v>65042.69</v>
      </c>
      <c r="S15" s="76">
        <v>153170</v>
      </c>
      <c r="T15" s="76">
        <v>3021783.22</v>
      </c>
      <c r="U15" s="76">
        <v>36506</v>
      </c>
      <c r="V15" s="76">
        <v>61239</v>
      </c>
      <c r="W15" s="76">
        <v>1164800</v>
      </c>
      <c r="X15" s="76">
        <v>589483</v>
      </c>
      <c r="Y15" s="76">
        <v>842083</v>
      </c>
      <c r="Z15" s="76">
        <v>933143</v>
      </c>
      <c r="AA15" s="76">
        <v>687956</v>
      </c>
      <c r="AB15" s="76">
        <v>1667217</v>
      </c>
      <c r="AC15" s="76">
        <v>4891121</v>
      </c>
      <c r="AD15" s="76">
        <v>67001</v>
      </c>
      <c r="AE15" s="76">
        <v>3350463</v>
      </c>
      <c r="AF15" s="76">
        <v>298060</v>
      </c>
      <c r="AG15" s="64">
        <f t="shared" si="3"/>
        <v>30303697.780000001</v>
      </c>
    </row>
    <row r="16" spans="1:33" s="32" customFormat="1" x14ac:dyDescent="0.25">
      <c r="A16" s="14" t="s">
        <v>202</v>
      </c>
      <c r="B16" s="31">
        <f t="shared" ref="B16:D16" si="4">B14+B15</f>
        <v>90780</v>
      </c>
      <c r="C16" s="31">
        <f t="shared" si="4"/>
        <v>152404</v>
      </c>
      <c r="D16" s="31">
        <f t="shared" si="4"/>
        <v>1215871</v>
      </c>
      <c r="E16" s="31">
        <f>E14+E15</f>
        <v>2422796</v>
      </c>
      <c r="F16" s="31">
        <f t="shared" ref="F16:AF16" si="5">F14+F15</f>
        <v>356608</v>
      </c>
      <c r="G16" s="31">
        <f t="shared" si="5"/>
        <v>1253381</v>
      </c>
      <c r="H16" s="31">
        <f t="shared" si="5"/>
        <v>924736</v>
      </c>
      <c r="I16" s="31">
        <f t="shared" si="5"/>
        <v>1352658.13</v>
      </c>
      <c r="J16" s="31">
        <f t="shared" si="5"/>
        <v>44363</v>
      </c>
      <c r="K16" s="31">
        <f t="shared" si="5"/>
        <v>572628.36</v>
      </c>
      <c r="L16" s="31">
        <f t="shared" si="5"/>
        <v>1839705</v>
      </c>
      <c r="M16" s="31">
        <f t="shared" si="5"/>
        <v>3878624</v>
      </c>
      <c r="N16" s="31">
        <f t="shared" si="5"/>
        <v>1344620</v>
      </c>
      <c r="O16" s="31">
        <f t="shared" si="5"/>
        <v>123112.57</v>
      </c>
      <c r="P16" s="31">
        <f t="shared" si="5"/>
        <v>331459</v>
      </c>
      <c r="Q16" s="31">
        <f t="shared" si="5"/>
        <v>384447</v>
      </c>
      <c r="R16" s="31">
        <f t="shared" si="5"/>
        <v>93014.59</v>
      </c>
      <c r="S16" s="31">
        <f t="shared" si="5"/>
        <v>240132</v>
      </c>
      <c r="T16" s="31">
        <f t="shared" si="5"/>
        <v>3339087.6900000004</v>
      </c>
      <c r="U16" s="31">
        <f t="shared" si="5"/>
        <v>54871</v>
      </c>
      <c r="V16" s="31">
        <f t="shared" si="5"/>
        <v>81461</v>
      </c>
      <c r="W16" s="31">
        <f t="shared" si="5"/>
        <v>1450636</v>
      </c>
      <c r="X16" s="31">
        <f t="shared" si="5"/>
        <v>710458</v>
      </c>
      <c r="Y16" s="31">
        <f t="shared" si="5"/>
        <v>1091909</v>
      </c>
      <c r="Z16" s="31">
        <f t="shared" si="5"/>
        <v>1082781</v>
      </c>
      <c r="AA16" s="31">
        <f t="shared" si="5"/>
        <v>1137343</v>
      </c>
      <c r="AB16" s="31">
        <f t="shared" si="5"/>
        <v>1988114</v>
      </c>
      <c r="AC16" s="31">
        <f t="shared" si="5"/>
        <v>7055880</v>
      </c>
      <c r="AD16" s="31">
        <f t="shared" si="5"/>
        <v>2734735</v>
      </c>
      <c r="AE16" s="31">
        <f t="shared" si="5"/>
        <v>3584150</v>
      </c>
      <c r="AF16" s="31">
        <f t="shared" si="5"/>
        <v>374144</v>
      </c>
      <c r="AG16" s="65">
        <f t="shared" si="3"/>
        <v>41306909.340000004</v>
      </c>
    </row>
    <row r="17" spans="1:33" x14ac:dyDescent="0.25">
      <c r="A17" s="20" t="s">
        <v>203</v>
      </c>
      <c r="B17" s="76"/>
      <c r="C17" s="76"/>
      <c r="D17" s="76">
        <v>1481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>
        <v>26</v>
      </c>
      <c r="R17" s="76"/>
      <c r="S17" s="76"/>
      <c r="T17" s="76">
        <v>3261.33</v>
      </c>
      <c r="U17" s="76"/>
      <c r="V17" s="76"/>
      <c r="W17" s="76"/>
      <c r="X17" s="76"/>
      <c r="Y17" s="76"/>
      <c r="Z17" s="76"/>
      <c r="AA17" s="76"/>
      <c r="AB17" s="76"/>
      <c r="AC17" s="76">
        <v>32501</v>
      </c>
      <c r="AD17" s="76">
        <v>13979</v>
      </c>
      <c r="AE17" s="76">
        <v>19504</v>
      </c>
      <c r="AF17" s="76"/>
      <c r="AG17" s="64">
        <f t="shared" si="3"/>
        <v>70752.33</v>
      </c>
    </row>
    <row r="18" spans="1:33" x14ac:dyDescent="0.25">
      <c r="A18" s="20" t="s">
        <v>204</v>
      </c>
      <c r="B18" s="76">
        <v>385</v>
      </c>
      <c r="C18" s="76">
        <v>11696</v>
      </c>
      <c r="D18" s="76">
        <v>17848</v>
      </c>
      <c r="E18" s="76">
        <v>42416</v>
      </c>
      <c r="F18" s="76">
        <v>5507</v>
      </c>
      <c r="G18" s="76">
        <v>8481</v>
      </c>
      <c r="H18" s="76">
        <v>14851</v>
      </c>
      <c r="I18" s="76">
        <v>32653.200000000001</v>
      </c>
      <c r="J18" s="76">
        <v>1759</v>
      </c>
      <c r="K18" s="76">
        <v>4942.8100000000004</v>
      </c>
      <c r="L18" s="76">
        <v>29930</v>
      </c>
      <c r="M18" s="76">
        <v>57748</v>
      </c>
      <c r="N18" s="76">
        <v>15324</v>
      </c>
      <c r="O18" s="76">
        <v>1014.8</v>
      </c>
      <c r="P18" s="76">
        <v>3827</v>
      </c>
      <c r="Q18" s="76">
        <v>2755</v>
      </c>
      <c r="R18" s="76">
        <v>2363.9499999999998</v>
      </c>
      <c r="S18" s="76">
        <v>4967</v>
      </c>
      <c r="T18" s="76">
        <v>54955.28</v>
      </c>
      <c r="U18" s="76">
        <v>38</v>
      </c>
      <c r="V18" s="76">
        <v>832</v>
      </c>
      <c r="W18" s="76">
        <v>9337</v>
      </c>
      <c r="X18" s="76">
        <v>2803</v>
      </c>
      <c r="Y18" s="76">
        <v>22590</v>
      </c>
      <c r="Z18" s="76">
        <v>4357</v>
      </c>
      <c r="AA18" s="76">
        <v>11713</v>
      </c>
      <c r="AB18" s="76">
        <v>28316</v>
      </c>
      <c r="AC18" s="76">
        <v>43870</v>
      </c>
      <c r="AD18" s="76">
        <v>52682</v>
      </c>
      <c r="AE18" s="76">
        <v>44989</v>
      </c>
      <c r="AF18" s="76">
        <v>2600</v>
      </c>
      <c r="AG18" s="64">
        <f t="shared" si="3"/>
        <v>537551.04</v>
      </c>
    </row>
    <row r="19" spans="1:33" x14ac:dyDescent="0.25">
      <c r="A19" s="20" t="s">
        <v>205</v>
      </c>
      <c r="B19" s="76"/>
      <c r="C19" s="76"/>
      <c r="D19" s="76">
        <v>2012</v>
      </c>
      <c r="E19" s="76">
        <v>1783</v>
      </c>
      <c r="F19" s="76">
        <v>3995</v>
      </c>
      <c r="G19" s="76">
        <v>17930</v>
      </c>
      <c r="H19" s="76"/>
      <c r="I19" s="76">
        <v>4388.91</v>
      </c>
      <c r="J19" s="76"/>
      <c r="K19" s="76">
        <v>1875.69</v>
      </c>
      <c r="L19" s="76">
        <v>5866</v>
      </c>
      <c r="M19" s="76">
        <v>34561</v>
      </c>
      <c r="N19" s="76">
        <v>2258</v>
      </c>
      <c r="O19" s="76"/>
      <c r="P19" s="76"/>
      <c r="Q19" s="76">
        <v>2720</v>
      </c>
      <c r="R19" s="76"/>
      <c r="S19" s="76"/>
      <c r="T19" s="76"/>
      <c r="U19" s="76"/>
      <c r="V19" s="76">
        <v>639</v>
      </c>
      <c r="W19" s="76">
        <v>3727</v>
      </c>
      <c r="X19" s="76">
        <v>4249</v>
      </c>
      <c r="Y19" s="76">
        <v>1619</v>
      </c>
      <c r="Z19" s="76">
        <v>3350</v>
      </c>
      <c r="AA19" s="76">
        <v>77671</v>
      </c>
      <c r="AB19" s="76">
        <v>7381</v>
      </c>
      <c r="AC19" s="76">
        <v>26720</v>
      </c>
      <c r="AD19" s="76"/>
      <c r="AE19" s="76"/>
      <c r="AF19" s="76">
        <v>1872</v>
      </c>
      <c r="AG19" s="64">
        <f t="shared" si="3"/>
        <v>204617.60000000001</v>
      </c>
    </row>
    <row r="20" spans="1:33" x14ac:dyDescent="0.25">
      <c r="A20" s="14" t="s">
        <v>206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64"/>
    </row>
    <row r="21" spans="1:33" x14ac:dyDescent="0.25">
      <c r="A21" s="20" t="s">
        <v>207</v>
      </c>
      <c r="B21" s="76">
        <v>3460</v>
      </c>
      <c r="C21" s="76">
        <v>5341</v>
      </c>
      <c r="D21" s="76">
        <v>695780</v>
      </c>
      <c r="E21" s="76">
        <v>47516</v>
      </c>
      <c r="F21" s="76">
        <v>7869</v>
      </c>
      <c r="G21" s="76">
        <v>3588</v>
      </c>
      <c r="H21" s="76">
        <v>14652</v>
      </c>
      <c r="I21" s="76">
        <v>198035.51</v>
      </c>
      <c r="J21" s="76">
        <v>378</v>
      </c>
      <c r="K21" s="76">
        <v>7280.85</v>
      </c>
      <c r="L21" s="76">
        <v>13429</v>
      </c>
      <c r="M21" s="76">
        <v>29264</v>
      </c>
      <c r="N21" s="76">
        <v>27775</v>
      </c>
      <c r="O21" s="76">
        <v>1588.44</v>
      </c>
      <c r="P21" s="76">
        <v>539</v>
      </c>
      <c r="Q21" s="76">
        <v>2567</v>
      </c>
      <c r="R21" s="76">
        <v>10990.41</v>
      </c>
      <c r="S21" s="76">
        <v>5881</v>
      </c>
      <c r="T21" s="76">
        <v>68814.22</v>
      </c>
      <c r="U21" s="76">
        <v>565</v>
      </c>
      <c r="V21" s="76">
        <v>949</v>
      </c>
      <c r="W21" s="76">
        <v>15517</v>
      </c>
      <c r="X21" s="76">
        <v>5174</v>
      </c>
      <c r="Y21" s="76">
        <v>15758</v>
      </c>
      <c r="Z21" s="76">
        <v>3084</v>
      </c>
      <c r="AA21" s="76">
        <v>56354</v>
      </c>
      <c r="AB21" s="76">
        <v>54456</v>
      </c>
      <c r="AC21" s="76">
        <v>1248784</v>
      </c>
      <c r="AD21" s="76">
        <v>235990</v>
      </c>
      <c r="AE21" s="76">
        <v>266805</v>
      </c>
      <c r="AF21" s="76">
        <v>9786</v>
      </c>
      <c r="AG21" s="64">
        <f t="shared" ref="AG21:AG30" si="6">SUM(B21:AF21)</f>
        <v>3057970.4299999997</v>
      </c>
    </row>
    <row r="22" spans="1:33" x14ac:dyDescent="0.25">
      <c r="A22" s="20" t="s">
        <v>208</v>
      </c>
      <c r="B22" s="76">
        <v>10383</v>
      </c>
      <c r="C22" s="76">
        <v>13544</v>
      </c>
      <c r="D22" s="76">
        <v>1167226</v>
      </c>
      <c r="E22" s="76">
        <v>233707</v>
      </c>
      <c r="F22" s="76">
        <v>15748</v>
      </c>
      <c r="G22" s="76">
        <v>88222</v>
      </c>
      <c r="H22" s="76">
        <v>50535</v>
      </c>
      <c r="I22" s="76">
        <v>105235.47</v>
      </c>
      <c r="J22" s="76">
        <v>14123</v>
      </c>
      <c r="K22" s="76">
        <v>65639.69</v>
      </c>
      <c r="L22" s="76">
        <v>240115</v>
      </c>
      <c r="M22" s="76">
        <v>1084633</v>
      </c>
      <c r="N22" s="76">
        <v>209367</v>
      </c>
      <c r="O22" s="76">
        <v>11472.95</v>
      </c>
      <c r="P22" s="76">
        <v>28610</v>
      </c>
      <c r="Q22" s="76">
        <v>18166</v>
      </c>
      <c r="R22" s="76">
        <v>4444.37</v>
      </c>
      <c r="S22" s="76">
        <v>22863</v>
      </c>
      <c r="T22" s="76">
        <v>583187.39</v>
      </c>
      <c r="U22" s="76">
        <v>2156</v>
      </c>
      <c r="V22" s="76">
        <v>4898</v>
      </c>
      <c r="W22" s="76">
        <v>250136</v>
      </c>
      <c r="X22" s="76">
        <v>93785</v>
      </c>
      <c r="Y22" s="76">
        <v>140217</v>
      </c>
      <c r="Z22" s="76">
        <v>51649</v>
      </c>
      <c r="AA22" s="76">
        <v>68282</v>
      </c>
      <c r="AB22" s="76">
        <v>122503</v>
      </c>
      <c r="AC22" s="76">
        <v>1045202</v>
      </c>
      <c r="AD22" s="76">
        <v>491471</v>
      </c>
      <c r="AE22" s="76">
        <v>591190</v>
      </c>
      <c r="AF22" s="76">
        <v>131082</v>
      </c>
      <c r="AG22" s="64">
        <f t="shared" si="6"/>
        <v>6959792.870000001</v>
      </c>
    </row>
    <row r="23" spans="1:33" s="32" customFormat="1" x14ac:dyDescent="0.25">
      <c r="A23" s="14" t="s">
        <v>209</v>
      </c>
      <c r="B23" s="31">
        <f>B21+B22</f>
        <v>13843</v>
      </c>
      <c r="C23" s="31">
        <f t="shared" ref="C23:AF23" si="7">C21+C22</f>
        <v>18885</v>
      </c>
      <c r="D23" s="31">
        <f t="shared" si="7"/>
        <v>1863006</v>
      </c>
      <c r="E23" s="31">
        <f t="shared" si="7"/>
        <v>281223</v>
      </c>
      <c r="F23" s="31">
        <f t="shared" si="7"/>
        <v>23617</v>
      </c>
      <c r="G23" s="31">
        <f t="shared" si="7"/>
        <v>91810</v>
      </c>
      <c r="H23" s="31">
        <f t="shared" si="7"/>
        <v>65187</v>
      </c>
      <c r="I23" s="31">
        <f t="shared" si="7"/>
        <v>303270.98</v>
      </c>
      <c r="J23" s="31">
        <f t="shared" si="7"/>
        <v>14501</v>
      </c>
      <c r="K23" s="31">
        <f t="shared" si="7"/>
        <v>72920.540000000008</v>
      </c>
      <c r="L23" s="31">
        <f t="shared" si="7"/>
        <v>253544</v>
      </c>
      <c r="M23" s="31">
        <f t="shared" si="7"/>
        <v>1113897</v>
      </c>
      <c r="N23" s="31">
        <f t="shared" si="7"/>
        <v>237142</v>
      </c>
      <c r="O23" s="31">
        <f t="shared" si="7"/>
        <v>13061.390000000001</v>
      </c>
      <c r="P23" s="31">
        <f t="shared" si="7"/>
        <v>29149</v>
      </c>
      <c r="Q23" s="31">
        <f t="shared" si="7"/>
        <v>20733</v>
      </c>
      <c r="R23" s="31">
        <f t="shared" si="7"/>
        <v>15434.779999999999</v>
      </c>
      <c r="S23" s="31">
        <f t="shared" si="7"/>
        <v>28744</v>
      </c>
      <c r="T23" s="31">
        <f t="shared" si="7"/>
        <v>652001.61</v>
      </c>
      <c r="U23" s="31">
        <f t="shared" si="7"/>
        <v>2721</v>
      </c>
      <c r="V23" s="31">
        <f t="shared" si="7"/>
        <v>5847</v>
      </c>
      <c r="W23" s="31">
        <f t="shared" si="7"/>
        <v>265653</v>
      </c>
      <c r="X23" s="31">
        <f t="shared" si="7"/>
        <v>98959</v>
      </c>
      <c r="Y23" s="31">
        <f t="shared" si="7"/>
        <v>155975</v>
      </c>
      <c r="Z23" s="31">
        <f t="shared" si="7"/>
        <v>54733</v>
      </c>
      <c r="AA23" s="31">
        <f t="shared" si="7"/>
        <v>124636</v>
      </c>
      <c r="AB23" s="31">
        <f t="shared" si="7"/>
        <v>176959</v>
      </c>
      <c r="AC23" s="31">
        <f t="shared" si="7"/>
        <v>2293986</v>
      </c>
      <c r="AD23" s="31">
        <f t="shared" si="7"/>
        <v>727461</v>
      </c>
      <c r="AE23" s="31">
        <f t="shared" si="7"/>
        <v>857995</v>
      </c>
      <c r="AF23" s="31">
        <f t="shared" si="7"/>
        <v>140868</v>
      </c>
      <c r="AG23" s="65">
        <f t="shared" si="6"/>
        <v>10017763.300000001</v>
      </c>
    </row>
    <row r="24" spans="1:33" x14ac:dyDescent="0.25">
      <c r="A24" s="20" t="s">
        <v>210</v>
      </c>
      <c r="B24" s="76">
        <v>46850</v>
      </c>
      <c r="C24" s="76">
        <v>61528</v>
      </c>
      <c r="D24" s="76">
        <v>2466493</v>
      </c>
      <c r="E24" s="76">
        <v>1448331</v>
      </c>
      <c r="F24" s="76">
        <v>116119</v>
      </c>
      <c r="G24" s="76">
        <v>907871</v>
      </c>
      <c r="H24" s="76">
        <v>575184</v>
      </c>
      <c r="I24" s="76">
        <v>744037.09</v>
      </c>
      <c r="J24" s="76">
        <v>34885</v>
      </c>
      <c r="K24" s="76">
        <v>376542.07</v>
      </c>
      <c r="L24" s="76">
        <v>1262257</v>
      </c>
      <c r="M24" s="76">
        <v>3306684</v>
      </c>
      <c r="N24" s="76">
        <v>982663</v>
      </c>
      <c r="O24" s="76">
        <v>69034.5</v>
      </c>
      <c r="P24" s="76">
        <v>202200</v>
      </c>
      <c r="Q24" s="76">
        <v>290069</v>
      </c>
      <c r="R24" s="76">
        <v>31046.54</v>
      </c>
      <c r="S24" s="76">
        <v>89109</v>
      </c>
      <c r="T24" s="76">
        <v>2741009.5</v>
      </c>
      <c r="U24" s="76">
        <v>17693</v>
      </c>
      <c r="V24" s="76">
        <v>48072</v>
      </c>
      <c r="W24" s="76">
        <v>1241393</v>
      </c>
      <c r="X24" s="76">
        <v>519976</v>
      </c>
      <c r="Y24" s="76">
        <v>659533</v>
      </c>
      <c r="Z24" s="76">
        <v>814932</v>
      </c>
      <c r="AA24" s="76">
        <v>196072</v>
      </c>
      <c r="AB24" s="76">
        <v>1279585</v>
      </c>
      <c r="AC24" s="76">
        <v>4108519</v>
      </c>
      <c r="AD24" s="76">
        <v>2064411</v>
      </c>
      <c r="AE24" s="76">
        <v>3081626</v>
      </c>
      <c r="AF24" s="76">
        <v>315962</v>
      </c>
      <c r="AG24" s="64">
        <f t="shared" si="6"/>
        <v>30099686.699999999</v>
      </c>
    </row>
    <row r="25" spans="1:33" x14ac:dyDescent="0.25">
      <c r="A25" s="20" t="s">
        <v>58</v>
      </c>
      <c r="B25" s="76">
        <v>27545</v>
      </c>
      <c r="C25" s="76">
        <v>69236</v>
      </c>
      <c r="D25" s="76">
        <v>94971</v>
      </c>
      <c r="E25" s="76">
        <v>417665</v>
      </c>
      <c r="F25" s="76">
        <v>152917</v>
      </c>
      <c r="G25" s="76">
        <v>254608</v>
      </c>
      <c r="H25" s="76">
        <v>231775</v>
      </c>
      <c r="I25" s="76">
        <v>95541.15</v>
      </c>
      <c r="J25" s="76">
        <v>13343</v>
      </c>
      <c r="K25" s="76">
        <v>149411.10999999999</v>
      </c>
      <c r="L25" s="76">
        <v>456140</v>
      </c>
      <c r="M25" s="76">
        <v>805751</v>
      </c>
      <c r="N25" s="76">
        <v>292938</v>
      </c>
      <c r="O25" s="76">
        <v>44650.67</v>
      </c>
      <c r="P25" s="76">
        <v>76497</v>
      </c>
      <c r="Q25" s="76">
        <v>69356</v>
      </c>
      <c r="R25" s="76">
        <v>47598.62</v>
      </c>
      <c r="S25" s="76">
        <v>109169</v>
      </c>
      <c r="T25" s="76">
        <v>672925.95</v>
      </c>
      <c r="U25" s="76">
        <v>20447</v>
      </c>
      <c r="V25" s="76">
        <v>20363</v>
      </c>
      <c r="W25" s="76">
        <v>229682</v>
      </c>
      <c r="X25" s="76">
        <v>126038</v>
      </c>
      <c r="Y25" s="76">
        <v>315289</v>
      </c>
      <c r="Z25" s="76">
        <v>95988</v>
      </c>
      <c r="AA25" s="76">
        <v>620217</v>
      </c>
      <c r="AB25" s="76">
        <v>454181</v>
      </c>
      <c r="AC25" s="76">
        <v>1525313</v>
      </c>
      <c r="AD25" s="76">
        <v>770516</v>
      </c>
      <c r="AE25" s="76">
        <v>808857</v>
      </c>
      <c r="AF25" s="76">
        <v>90326</v>
      </c>
      <c r="AG25" s="64">
        <f t="shared" si="6"/>
        <v>9159255.5</v>
      </c>
    </row>
    <row r="26" spans="1:33" s="32" customFormat="1" x14ac:dyDescent="0.25">
      <c r="A26" s="14" t="s">
        <v>211</v>
      </c>
      <c r="B26" s="31">
        <f>B24+B25</f>
        <v>74395</v>
      </c>
      <c r="C26" s="31">
        <f t="shared" ref="C26:AF26" si="8">C24+C25</f>
        <v>130764</v>
      </c>
      <c r="D26" s="31">
        <f t="shared" si="8"/>
        <v>2561464</v>
      </c>
      <c r="E26" s="31">
        <f t="shared" si="8"/>
        <v>1865996</v>
      </c>
      <c r="F26" s="31">
        <f t="shared" si="8"/>
        <v>269036</v>
      </c>
      <c r="G26" s="31">
        <f t="shared" si="8"/>
        <v>1162479</v>
      </c>
      <c r="H26" s="31">
        <f t="shared" si="8"/>
        <v>806959</v>
      </c>
      <c r="I26" s="31">
        <f t="shared" si="8"/>
        <v>839578.24</v>
      </c>
      <c r="J26" s="31">
        <f t="shared" si="8"/>
        <v>48228</v>
      </c>
      <c r="K26" s="31">
        <f t="shared" si="8"/>
        <v>525953.17999999993</v>
      </c>
      <c r="L26" s="31">
        <f t="shared" si="8"/>
        <v>1718397</v>
      </c>
      <c r="M26" s="31">
        <f t="shared" si="8"/>
        <v>4112435</v>
      </c>
      <c r="N26" s="31">
        <f t="shared" si="8"/>
        <v>1275601</v>
      </c>
      <c r="O26" s="31">
        <f t="shared" si="8"/>
        <v>113685.17</v>
      </c>
      <c r="P26" s="31">
        <f t="shared" si="8"/>
        <v>278697</v>
      </c>
      <c r="Q26" s="31">
        <f t="shared" si="8"/>
        <v>359425</v>
      </c>
      <c r="R26" s="31">
        <f t="shared" si="8"/>
        <v>78645.16</v>
      </c>
      <c r="S26" s="31">
        <f t="shared" si="8"/>
        <v>198278</v>
      </c>
      <c r="T26" s="31">
        <f t="shared" si="8"/>
        <v>3413935.45</v>
      </c>
      <c r="U26" s="31">
        <f t="shared" si="8"/>
        <v>38140</v>
      </c>
      <c r="V26" s="31">
        <f t="shared" si="8"/>
        <v>68435</v>
      </c>
      <c r="W26" s="31">
        <f t="shared" si="8"/>
        <v>1471075</v>
      </c>
      <c r="X26" s="31">
        <f t="shared" si="8"/>
        <v>646014</v>
      </c>
      <c r="Y26" s="31">
        <f t="shared" si="8"/>
        <v>974822</v>
      </c>
      <c r="Z26" s="31">
        <f t="shared" si="8"/>
        <v>910920</v>
      </c>
      <c r="AA26" s="31">
        <f t="shared" si="8"/>
        <v>816289</v>
      </c>
      <c r="AB26" s="31">
        <f t="shared" si="8"/>
        <v>1733766</v>
      </c>
      <c r="AC26" s="31">
        <f t="shared" si="8"/>
        <v>5633832</v>
      </c>
      <c r="AD26" s="31">
        <f t="shared" si="8"/>
        <v>2834927</v>
      </c>
      <c r="AE26" s="31">
        <f t="shared" si="8"/>
        <v>3890483</v>
      </c>
      <c r="AF26" s="31">
        <f t="shared" si="8"/>
        <v>406288</v>
      </c>
      <c r="AG26" s="65">
        <f t="shared" si="6"/>
        <v>39258942.200000003</v>
      </c>
    </row>
    <row r="27" spans="1:33" s="7" customFormat="1" x14ac:dyDescent="0.25">
      <c r="A27" s="3" t="s">
        <v>212</v>
      </c>
      <c r="B27" s="10">
        <f>B23-B26</f>
        <v>-60552</v>
      </c>
      <c r="C27" s="10">
        <f t="shared" ref="C27:AF27" si="9">C23-C26</f>
        <v>-111879</v>
      </c>
      <c r="D27" s="10">
        <f t="shared" si="9"/>
        <v>-698458</v>
      </c>
      <c r="E27" s="10">
        <f t="shared" si="9"/>
        <v>-1584773</v>
      </c>
      <c r="F27" s="10">
        <f t="shared" si="9"/>
        <v>-245419</v>
      </c>
      <c r="G27" s="10">
        <f t="shared" si="9"/>
        <v>-1070669</v>
      </c>
      <c r="H27" s="10">
        <f t="shared" si="9"/>
        <v>-741772</v>
      </c>
      <c r="I27" s="10">
        <f t="shared" si="9"/>
        <v>-536307.26</v>
      </c>
      <c r="J27" s="10">
        <f t="shared" si="9"/>
        <v>-33727</v>
      </c>
      <c r="K27" s="10">
        <f t="shared" si="9"/>
        <v>-453032.6399999999</v>
      </c>
      <c r="L27" s="10">
        <f t="shared" si="9"/>
        <v>-1464853</v>
      </c>
      <c r="M27" s="10">
        <f t="shared" si="9"/>
        <v>-2998538</v>
      </c>
      <c r="N27" s="10">
        <f t="shared" si="9"/>
        <v>-1038459</v>
      </c>
      <c r="O27" s="10">
        <f t="shared" si="9"/>
        <v>-100623.78</v>
      </c>
      <c r="P27" s="10">
        <f t="shared" si="9"/>
        <v>-249548</v>
      </c>
      <c r="Q27" s="10">
        <f t="shared" si="9"/>
        <v>-338692</v>
      </c>
      <c r="R27" s="10">
        <f t="shared" si="9"/>
        <v>-63210.380000000005</v>
      </c>
      <c r="S27" s="10">
        <f t="shared" si="9"/>
        <v>-169534</v>
      </c>
      <c r="T27" s="10">
        <f t="shared" si="9"/>
        <v>-2761933.8400000003</v>
      </c>
      <c r="U27" s="10">
        <f t="shared" si="9"/>
        <v>-35419</v>
      </c>
      <c r="V27" s="10">
        <f t="shared" si="9"/>
        <v>-62588</v>
      </c>
      <c r="W27" s="10">
        <f t="shared" si="9"/>
        <v>-1205422</v>
      </c>
      <c r="X27" s="10">
        <f t="shared" si="9"/>
        <v>-547055</v>
      </c>
      <c r="Y27" s="10">
        <f t="shared" si="9"/>
        <v>-818847</v>
      </c>
      <c r="Z27" s="10">
        <f t="shared" si="9"/>
        <v>-856187</v>
      </c>
      <c r="AA27" s="10">
        <f t="shared" si="9"/>
        <v>-691653</v>
      </c>
      <c r="AB27" s="10">
        <f t="shared" si="9"/>
        <v>-1556807</v>
      </c>
      <c r="AC27" s="10">
        <f t="shared" si="9"/>
        <v>-3339846</v>
      </c>
      <c r="AD27" s="10">
        <f t="shared" si="9"/>
        <v>-2107466</v>
      </c>
      <c r="AE27" s="10">
        <f t="shared" si="9"/>
        <v>-3032488</v>
      </c>
      <c r="AF27" s="10">
        <f t="shared" si="9"/>
        <v>-265420</v>
      </c>
      <c r="AG27" s="63">
        <f t="shared" si="6"/>
        <v>-29241178.899999999</v>
      </c>
    </row>
    <row r="28" spans="1:33" ht="30" x14ac:dyDescent="0.25">
      <c r="A28" s="20" t="s">
        <v>213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>
        <v>31552.32</v>
      </c>
      <c r="U28" s="76"/>
      <c r="V28" s="76"/>
      <c r="W28" s="76"/>
      <c r="X28" s="76"/>
      <c r="Y28" s="76"/>
      <c r="Z28" s="76"/>
      <c r="AA28" s="76"/>
      <c r="AB28" s="76"/>
      <c r="AC28" s="76">
        <v>82028</v>
      </c>
      <c r="AD28" s="76">
        <v>59428</v>
      </c>
      <c r="AE28" s="76"/>
      <c r="AF28" s="76"/>
      <c r="AG28" s="64">
        <f t="shared" si="6"/>
        <v>173008.32</v>
      </c>
    </row>
    <row r="29" spans="1:33" ht="30" x14ac:dyDescent="0.25">
      <c r="A29" s="20" t="s">
        <v>214</v>
      </c>
      <c r="B29" s="76">
        <v>84906</v>
      </c>
      <c r="C29" s="76">
        <v>129586</v>
      </c>
      <c r="D29" s="76"/>
      <c r="E29" s="76"/>
      <c r="F29" s="76">
        <v>8183</v>
      </c>
      <c r="G29" s="76"/>
      <c r="H29" s="76">
        <v>94086</v>
      </c>
      <c r="I29" s="76"/>
      <c r="J29" s="76">
        <v>38919</v>
      </c>
      <c r="K29" s="76"/>
      <c r="L29" s="76"/>
      <c r="M29" s="76"/>
      <c r="N29" s="76"/>
      <c r="O29" s="76">
        <v>22164.59</v>
      </c>
      <c r="P29" s="76">
        <v>97726</v>
      </c>
      <c r="Q29" s="76">
        <v>2517</v>
      </c>
      <c r="R29" s="76">
        <v>126111.03999999999</v>
      </c>
      <c r="S29" s="76">
        <v>102636</v>
      </c>
      <c r="T29" s="76">
        <v>630846.24</v>
      </c>
      <c r="U29" s="76">
        <v>30088</v>
      </c>
      <c r="V29" s="76">
        <v>23871</v>
      </c>
      <c r="W29" s="76"/>
      <c r="X29" s="76"/>
      <c r="Y29" s="76"/>
      <c r="Z29" s="76"/>
      <c r="AA29" s="76">
        <v>176520</v>
      </c>
      <c r="AB29" s="76"/>
      <c r="AC29" s="76"/>
      <c r="AD29" s="76">
        <v>350194</v>
      </c>
      <c r="AE29" s="76">
        <v>194234</v>
      </c>
      <c r="AF29" s="76"/>
      <c r="AG29" s="64">
        <f t="shared" si="6"/>
        <v>2112587.87</v>
      </c>
    </row>
    <row r="30" spans="1:33" s="7" customFormat="1" x14ac:dyDescent="0.25">
      <c r="A30" s="3" t="s">
        <v>40</v>
      </c>
      <c r="B30" s="10">
        <v>115519</v>
      </c>
      <c r="C30" s="10">
        <v>181807</v>
      </c>
      <c r="D30" s="10">
        <v>538754</v>
      </c>
      <c r="E30" s="10">
        <v>882222</v>
      </c>
      <c r="F30" s="10">
        <v>128874</v>
      </c>
      <c r="G30" s="10">
        <v>209122</v>
      </c>
      <c r="H30" s="10">
        <v>291901</v>
      </c>
      <c r="I30" s="10">
        <v>853392.98</v>
      </c>
      <c r="J30" s="10">
        <v>51314</v>
      </c>
      <c r="K30" s="10">
        <v>126414.21</v>
      </c>
      <c r="L30" s="10">
        <v>410648</v>
      </c>
      <c r="M30" s="10">
        <v>972395</v>
      </c>
      <c r="N30" s="10">
        <v>323743</v>
      </c>
      <c r="O30" s="10">
        <v>45668.18</v>
      </c>
      <c r="P30" s="10">
        <v>183464</v>
      </c>
      <c r="Q30" s="10">
        <v>53774</v>
      </c>
      <c r="R30" s="10">
        <v>158279.20000000001</v>
      </c>
      <c r="S30" s="10">
        <v>178201</v>
      </c>
      <c r="T30" s="10">
        <v>1297769.01</v>
      </c>
      <c r="U30" s="10">
        <v>49579</v>
      </c>
      <c r="V30" s="10">
        <v>44215</v>
      </c>
      <c r="W30" s="10">
        <v>258277</v>
      </c>
      <c r="X30" s="10">
        <v>170454</v>
      </c>
      <c r="Y30" s="10">
        <v>297270</v>
      </c>
      <c r="Z30" s="10">
        <v>234300</v>
      </c>
      <c r="AA30" s="10">
        <v>711594</v>
      </c>
      <c r="AB30" s="10">
        <v>467003</v>
      </c>
      <c r="AC30" s="10">
        <v>3901153</v>
      </c>
      <c r="AD30" s="10">
        <v>1103551</v>
      </c>
      <c r="AE30" s="10">
        <v>810389</v>
      </c>
      <c r="AF30" s="10">
        <v>113196</v>
      </c>
      <c r="AG30" s="63">
        <f t="shared" si="6"/>
        <v>15164242.579999998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7" style="71" bestFit="1" customWidth="1"/>
    <col min="2" max="65" width="16" style="71" customWidth="1"/>
    <col min="66" max="16384" width="9.140625" style="71"/>
  </cols>
  <sheetData>
    <row r="1" spans="1:65" ht="18.75" x14ac:dyDescent="0.3">
      <c r="A1" s="4" t="s">
        <v>193</v>
      </c>
    </row>
    <row r="2" spans="1:65" x14ac:dyDescent="0.25">
      <c r="A2" s="13" t="s">
        <v>98</v>
      </c>
    </row>
    <row r="3" spans="1:65" x14ac:dyDescent="0.25">
      <c r="A3" s="27" t="s">
        <v>182</v>
      </c>
    </row>
    <row r="4" spans="1:65" x14ac:dyDescent="0.25">
      <c r="A4" s="1" t="s">
        <v>0</v>
      </c>
      <c r="B4" s="154" t="s">
        <v>1</v>
      </c>
      <c r="C4" s="155"/>
      <c r="D4" s="154" t="s">
        <v>234</v>
      </c>
      <c r="E4" s="155"/>
      <c r="F4" s="154" t="s">
        <v>2</v>
      </c>
      <c r="G4" s="155"/>
      <c r="H4" s="154" t="s">
        <v>3</v>
      </c>
      <c r="I4" s="155"/>
      <c r="J4" s="154" t="s">
        <v>243</v>
      </c>
      <c r="K4" s="155"/>
      <c r="L4" s="154" t="s">
        <v>235</v>
      </c>
      <c r="M4" s="155"/>
      <c r="N4" s="154" t="s">
        <v>5</v>
      </c>
      <c r="O4" s="155"/>
      <c r="P4" s="154" t="s">
        <v>4</v>
      </c>
      <c r="Q4" s="155"/>
      <c r="R4" s="154" t="s">
        <v>6</v>
      </c>
      <c r="S4" s="155"/>
      <c r="T4" s="154" t="s">
        <v>246</v>
      </c>
      <c r="U4" s="155"/>
      <c r="V4" s="154" t="s">
        <v>7</v>
      </c>
      <c r="W4" s="155"/>
      <c r="X4" s="154" t="s">
        <v>8</v>
      </c>
      <c r="Y4" s="155"/>
      <c r="Z4" s="154" t="s">
        <v>9</v>
      </c>
      <c r="AA4" s="155"/>
      <c r="AB4" s="154" t="s">
        <v>242</v>
      </c>
      <c r="AC4" s="155"/>
      <c r="AD4" s="154" t="s">
        <v>10</v>
      </c>
      <c r="AE4" s="155"/>
      <c r="AF4" s="154" t="s">
        <v>11</v>
      </c>
      <c r="AG4" s="155"/>
      <c r="AH4" s="154" t="s">
        <v>236</v>
      </c>
      <c r="AI4" s="155"/>
      <c r="AJ4" s="154" t="s">
        <v>245</v>
      </c>
      <c r="AK4" s="155"/>
      <c r="AL4" s="154" t="s">
        <v>12</v>
      </c>
      <c r="AM4" s="155"/>
      <c r="AN4" s="154" t="s">
        <v>237</v>
      </c>
      <c r="AO4" s="155"/>
      <c r="AP4" s="154" t="s">
        <v>238</v>
      </c>
      <c r="AQ4" s="155"/>
      <c r="AR4" s="154" t="s">
        <v>241</v>
      </c>
      <c r="AS4" s="155"/>
      <c r="AT4" s="154" t="s">
        <v>13</v>
      </c>
      <c r="AU4" s="155"/>
      <c r="AV4" s="154" t="s">
        <v>14</v>
      </c>
      <c r="AW4" s="155"/>
      <c r="AX4" s="154" t="s">
        <v>15</v>
      </c>
      <c r="AY4" s="155"/>
      <c r="AZ4" s="154" t="s">
        <v>16</v>
      </c>
      <c r="BA4" s="155"/>
      <c r="BB4" s="154" t="s">
        <v>17</v>
      </c>
      <c r="BC4" s="155"/>
      <c r="BD4" s="154" t="s">
        <v>239</v>
      </c>
      <c r="BE4" s="155"/>
      <c r="BF4" s="154" t="s">
        <v>240</v>
      </c>
      <c r="BG4" s="155"/>
      <c r="BH4" s="154" t="s">
        <v>18</v>
      </c>
      <c r="BI4" s="155"/>
      <c r="BJ4" s="154" t="s">
        <v>19</v>
      </c>
      <c r="BK4" s="155"/>
      <c r="BL4" s="156" t="s">
        <v>20</v>
      </c>
      <c r="BM4" s="157"/>
    </row>
    <row r="5" spans="1:65" ht="30" x14ac:dyDescent="0.25">
      <c r="A5" s="1"/>
      <c r="B5" s="53" t="s">
        <v>300</v>
      </c>
      <c r="C5" s="54" t="s">
        <v>301</v>
      </c>
      <c r="D5" s="53" t="s">
        <v>300</v>
      </c>
      <c r="E5" s="54" t="s">
        <v>301</v>
      </c>
      <c r="F5" s="53" t="s">
        <v>300</v>
      </c>
      <c r="G5" s="54" t="s">
        <v>301</v>
      </c>
      <c r="H5" s="53" t="s">
        <v>300</v>
      </c>
      <c r="I5" s="54" t="s">
        <v>301</v>
      </c>
      <c r="J5" s="53" t="s">
        <v>300</v>
      </c>
      <c r="K5" s="54" t="s">
        <v>301</v>
      </c>
      <c r="L5" s="53" t="s">
        <v>300</v>
      </c>
      <c r="M5" s="54" t="s">
        <v>301</v>
      </c>
      <c r="N5" s="53" t="s">
        <v>300</v>
      </c>
      <c r="O5" s="54" t="s">
        <v>301</v>
      </c>
      <c r="P5" s="53" t="s">
        <v>300</v>
      </c>
      <c r="Q5" s="54" t="s">
        <v>301</v>
      </c>
      <c r="R5" s="53" t="s">
        <v>300</v>
      </c>
      <c r="S5" s="54" t="s">
        <v>301</v>
      </c>
      <c r="T5" s="53" t="s">
        <v>300</v>
      </c>
      <c r="U5" s="54" t="s">
        <v>301</v>
      </c>
      <c r="V5" s="53" t="s">
        <v>300</v>
      </c>
      <c r="W5" s="54" t="s">
        <v>301</v>
      </c>
      <c r="X5" s="53" t="s">
        <v>300</v>
      </c>
      <c r="Y5" s="54" t="s">
        <v>301</v>
      </c>
      <c r="Z5" s="53" t="s">
        <v>300</v>
      </c>
      <c r="AA5" s="54" t="s">
        <v>301</v>
      </c>
      <c r="AB5" s="53" t="s">
        <v>300</v>
      </c>
      <c r="AC5" s="54" t="s">
        <v>301</v>
      </c>
      <c r="AD5" s="53" t="s">
        <v>300</v>
      </c>
      <c r="AE5" s="54" t="s">
        <v>301</v>
      </c>
      <c r="AF5" s="53" t="s">
        <v>300</v>
      </c>
      <c r="AG5" s="54" t="s">
        <v>301</v>
      </c>
      <c r="AH5" s="53" t="s">
        <v>300</v>
      </c>
      <c r="AI5" s="54" t="s">
        <v>301</v>
      </c>
      <c r="AJ5" s="53" t="s">
        <v>300</v>
      </c>
      <c r="AK5" s="54" t="s">
        <v>301</v>
      </c>
      <c r="AL5" s="53" t="s">
        <v>300</v>
      </c>
      <c r="AM5" s="54" t="s">
        <v>301</v>
      </c>
      <c r="AN5" s="53" t="s">
        <v>300</v>
      </c>
      <c r="AO5" s="54" t="s">
        <v>301</v>
      </c>
      <c r="AP5" s="53" t="s">
        <v>300</v>
      </c>
      <c r="AQ5" s="54" t="s">
        <v>301</v>
      </c>
      <c r="AR5" s="53" t="s">
        <v>300</v>
      </c>
      <c r="AS5" s="54" t="s">
        <v>301</v>
      </c>
      <c r="AT5" s="53" t="s">
        <v>300</v>
      </c>
      <c r="AU5" s="54" t="s">
        <v>301</v>
      </c>
      <c r="AV5" s="53" t="s">
        <v>300</v>
      </c>
      <c r="AW5" s="54" t="s">
        <v>301</v>
      </c>
      <c r="AX5" s="53" t="s">
        <v>300</v>
      </c>
      <c r="AY5" s="54" t="s">
        <v>301</v>
      </c>
      <c r="AZ5" s="53" t="s">
        <v>300</v>
      </c>
      <c r="BA5" s="54" t="s">
        <v>301</v>
      </c>
      <c r="BB5" s="53" t="s">
        <v>300</v>
      </c>
      <c r="BC5" s="54" t="s">
        <v>301</v>
      </c>
      <c r="BD5" s="53" t="s">
        <v>300</v>
      </c>
      <c r="BE5" s="54" t="s">
        <v>301</v>
      </c>
      <c r="BF5" s="53" t="s">
        <v>300</v>
      </c>
      <c r="BG5" s="54" t="s">
        <v>301</v>
      </c>
      <c r="BH5" s="53" t="s">
        <v>300</v>
      </c>
      <c r="BI5" s="54" t="s">
        <v>301</v>
      </c>
      <c r="BJ5" s="53" t="s">
        <v>300</v>
      </c>
      <c r="BK5" s="54" t="s">
        <v>301</v>
      </c>
      <c r="BL5" s="104" t="s">
        <v>300</v>
      </c>
      <c r="BM5" s="105" t="s">
        <v>301</v>
      </c>
    </row>
    <row r="6" spans="1:65" x14ac:dyDescent="0.25">
      <c r="A6" s="91" t="s">
        <v>274</v>
      </c>
      <c r="B6" s="91"/>
      <c r="C6" s="91">
        <v>2</v>
      </c>
      <c r="D6" s="76"/>
      <c r="E6" s="76"/>
      <c r="F6" s="76"/>
      <c r="G6" s="76"/>
      <c r="H6" s="91">
        <v>47572</v>
      </c>
      <c r="I6" s="91">
        <v>191335</v>
      </c>
      <c r="J6" s="76"/>
      <c r="K6" s="76"/>
      <c r="L6" s="91">
        <v>13195</v>
      </c>
      <c r="M6" s="91">
        <v>44471</v>
      </c>
      <c r="N6" s="76"/>
      <c r="O6" s="76"/>
      <c r="P6" s="90">
        <v>276.60000000000002</v>
      </c>
      <c r="Q6" s="90">
        <v>1719.6</v>
      </c>
      <c r="R6" s="91">
        <v>9440.7000000000007</v>
      </c>
      <c r="S6" s="91">
        <v>45644.36</v>
      </c>
      <c r="T6" s="91">
        <v>4787</v>
      </c>
      <c r="U6" s="91">
        <v>26036</v>
      </c>
      <c r="V6" s="91">
        <v>26900</v>
      </c>
      <c r="W6" s="91">
        <v>133035</v>
      </c>
      <c r="X6" s="91">
        <v>54929</v>
      </c>
      <c r="Y6" s="91">
        <v>274952</v>
      </c>
      <c r="Z6" s="91">
        <v>15909</v>
      </c>
      <c r="AA6" s="91">
        <v>92472</v>
      </c>
      <c r="AB6" s="91">
        <v>1409</v>
      </c>
      <c r="AC6" s="91">
        <v>5095</v>
      </c>
      <c r="AD6" s="91">
        <v>1441</v>
      </c>
      <c r="AE6" s="91">
        <v>9213</v>
      </c>
      <c r="AF6" s="91">
        <v>10330</v>
      </c>
      <c r="AG6" s="91">
        <v>22978</v>
      </c>
      <c r="AH6" s="76"/>
      <c r="AI6" s="76"/>
      <c r="AJ6" s="76"/>
      <c r="AK6" s="76"/>
      <c r="AL6" s="91">
        <v>21130.3</v>
      </c>
      <c r="AM6" s="91">
        <v>112372.43</v>
      </c>
      <c r="AN6" s="91">
        <v>924</v>
      </c>
      <c r="AO6" s="91">
        <v>1859</v>
      </c>
      <c r="AP6" s="91">
        <v>341</v>
      </c>
      <c r="AQ6" s="91">
        <v>1508</v>
      </c>
      <c r="AR6" s="76">
        <v>13472</v>
      </c>
      <c r="AS6" s="76">
        <v>93813</v>
      </c>
      <c r="AT6" s="91">
        <v>5141</v>
      </c>
      <c r="AU6" s="91">
        <v>29046</v>
      </c>
      <c r="AV6" s="91">
        <v>40139</v>
      </c>
      <c r="AW6" s="91">
        <v>135094</v>
      </c>
      <c r="AX6" s="91">
        <v>1538</v>
      </c>
      <c r="AY6" s="91">
        <v>5555</v>
      </c>
      <c r="AZ6" s="76"/>
      <c r="BA6" s="76"/>
      <c r="BB6" s="91">
        <v>35546</v>
      </c>
      <c r="BC6" s="91">
        <v>163308</v>
      </c>
      <c r="BD6" s="91">
        <v>102072</v>
      </c>
      <c r="BE6" s="91">
        <v>504342</v>
      </c>
      <c r="BF6" s="91">
        <v>33603</v>
      </c>
      <c r="BG6" s="91">
        <v>169752</v>
      </c>
      <c r="BH6" s="91">
        <v>42711</v>
      </c>
      <c r="BI6" s="91">
        <v>184348</v>
      </c>
      <c r="BJ6" s="91">
        <v>3656</v>
      </c>
      <c r="BK6" s="91">
        <v>21119</v>
      </c>
      <c r="BL6" s="68">
        <f>SUM(B6+D6+F6+H6+J6+L6+N6+P6+R6+T6+V6+X6+Z6+AB6+AD6+AF6+AH6+AJ6+AL6+AN6+AP6+AR6+AT6+AV6+AX6+AZ6+BB6+BD6+BF6+BH6+BJ6)</f>
        <v>486462.6</v>
      </c>
      <c r="BM6" s="68">
        <f>SUM(C6+E6+G6+I6+K6+M6+O6+Q6+S6+U6+W6+Y6+AA6+AC6+AE6+AG6+AI6+AK6+AM6+AO6+AQ6+AS6+AU6+AW6+AY6+BA6+BC6+BE6+BG6+BI6+BK6)</f>
        <v>2269069.3899999997</v>
      </c>
    </row>
    <row r="7" spans="1:65" x14ac:dyDescent="0.25">
      <c r="A7" s="91" t="s">
        <v>275</v>
      </c>
      <c r="B7" s="91"/>
      <c r="C7" s="91"/>
      <c r="D7" s="76"/>
      <c r="E7" s="76"/>
      <c r="F7" s="76"/>
      <c r="G7" s="76"/>
      <c r="H7" s="91">
        <v>2891</v>
      </c>
      <c r="I7" s="91">
        <v>9004</v>
      </c>
      <c r="J7" s="76"/>
      <c r="K7" s="76"/>
      <c r="L7" s="91">
        <v>149</v>
      </c>
      <c r="M7" s="91">
        <v>936</v>
      </c>
      <c r="N7" s="76"/>
      <c r="O7" s="76"/>
      <c r="P7" s="90">
        <v>220.71</v>
      </c>
      <c r="Q7" s="90">
        <v>862.27</v>
      </c>
      <c r="R7" s="91">
        <v>819.47</v>
      </c>
      <c r="S7" s="91">
        <v>6456.96</v>
      </c>
      <c r="T7" s="91">
        <v>4472</v>
      </c>
      <c r="U7" s="91">
        <v>28080</v>
      </c>
      <c r="V7" s="91">
        <v>3095</v>
      </c>
      <c r="W7" s="91">
        <v>16855</v>
      </c>
      <c r="X7" s="91">
        <v>3783</v>
      </c>
      <c r="Y7" s="91">
        <v>14471</v>
      </c>
      <c r="Z7" s="91">
        <v>1769</v>
      </c>
      <c r="AA7" s="91">
        <v>9816</v>
      </c>
      <c r="AB7" s="91">
        <v>265</v>
      </c>
      <c r="AC7" s="91">
        <v>1067</v>
      </c>
      <c r="AD7" s="91">
        <v>721</v>
      </c>
      <c r="AE7" s="91">
        <v>1587</v>
      </c>
      <c r="AF7" s="91">
        <v>391</v>
      </c>
      <c r="AG7" s="91">
        <v>5077</v>
      </c>
      <c r="AH7" s="76"/>
      <c r="AI7" s="76"/>
      <c r="AJ7" s="76"/>
      <c r="AK7" s="76"/>
      <c r="AL7" s="91">
        <v>6042.87</v>
      </c>
      <c r="AM7" s="91">
        <v>16501.830000000002</v>
      </c>
      <c r="AN7" s="91">
        <v>36</v>
      </c>
      <c r="AO7" s="91">
        <v>114</v>
      </c>
      <c r="AP7" s="91">
        <v>113</v>
      </c>
      <c r="AQ7" s="91">
        <v>742</v>
      </c>
      <c r="AR7" s="76">
        <v>341</v>
      </c>
      <c r="AS7" s="76">
        <v>8758</v>
      </c>
      <c r="AT7" s="91">
        <v>1548</v>
      </c>
      <c r="AU7" s="91">
        <v>7639</v>
      </c>
      <c r="AV7" s="91">
        <v>267</v>
      </c>
      <c r="AW7" s="91">
        <v>807</v>
      </c>
      <c r="AX7" s="91">
        <v>315</v>
      </c>
      <c r="AY7" s="91">
        <v>1109</v>
      </c>
      <c r="AZ7" s="76"/>
      <c r="BA7" s="76"/>
      <c r="BB7" s="91">
        <v>2194</v>
      </c>
      <c r="BC7" s="91">
        <v>12715</v>
      </c>
      <c r="BD7" s="91">
        <v>29144</v>
      </c>
      <c r="BE7" s="91">
        <v>100913</v>
      </c>
      <c r="BF7" s="91">
        <v>5846</v>
      </c>
      <c r="BG7" s="91">
        <v>18572</v>
      </c>
      <c r="BH7" s="91">
        <v>9172</v>
      </c>
      <c r="BI7" s="91">
        <v>25446</v>
      </c>
      <c r="BJ7" s="91">
        <v>621</v>
      </c>
      <c r="BK7" s="91">
        <v>1014</v>
      </c>
      <c r="BL7" s="68">
        <f t="shared" ref="BL7:BL12" si="0">SUM(B7+D7+F7+H7+J7+L7+N7+P7+R7+T7+V7+X7+Z7+AB7+AD7+AF7+AH7+AJ7+AL7+AN7+AP7+AR7+AT7+AV7+AX7+AZ7+BB7+BD7+BF7+BH7+BJ7)</f>
        <v>74216.05</v>
      </c>
      <c r="BM7" s="68">
        <f t="shared" ref="BM7:BM12" si="1">SUM(C7+E7+G7+I7+K7+M7+O7+Q7+S7+U7+W7+Y7+AA7+AC7+AE7+AG7+AI7+AK7+AM7+AO7+AQ7+AS7+AU7+AW7+AY7+BA7+BC7+BE7+BG7+BI7+BK7)</f>
        <v>288543.06</v>
      </c>
    </row>
    <row r="8" spans="1:65" x14ac:dyDescent="0.25">
      <c r="A8" s="91" t="s">
        <v>276</v>
      </c>
      <c r="B8" s="91">
        <v>0</v>
      </c>
      <c r="C8" s="91">
        <v>0</v>
      </c>
      <c r="D8" s="76"/>
      <c r="E8" s="76"/>
      <c r="F8" s="76"/>
      <c r="G8" s="76"/>
      <c r="H8" s="91">
        <v>-42876</v>
      </c>
      <c r="I8" s="91">
        <v>-172738</v>
      </c>
      <c r="J8" s="76"/>
      <c r="K8" s="76"/>
      <c r="L8" s="91">
        <v>6635</v>
      </c>
      <c r="M8" s="91">
        <v>26876</v>
      </c>
      <c r="N8" s="76"/>
      <c r="O8" s="76"/>
      <c r="P8" s="90">
        <v>325.16000000000003</v>
      </c>
      <c r="Q8" s="90">
        <v>1978.25</v>
      </c>
      <c r="R8" s="91">
        <v>5976.48</v>
      </c>
      <c r="S8" s="91">
        <v>34531.49</v>
      </c>
      <c r="T8" s="91">
        <v>7588</v>
      </c>
      <c r="U8" s="91">
        <v>46486</v>
      </c>
      <c r="V8" s="91">
        <v>-23247</v>
      </c>
      <c r="W8" s="91">
        <v>-118843</v>
      </c>
      <c r="X8" s="91">
        <v>43407</v>
      </c>
      <c r="Y8" s="91">
        <v>215452</v>
      </c>
      <c r="Z8" s="91">
        <v>12893</v>
      </c>
      <c r="AA8" s="91">
        <v>84280</v>
      </c>
      <c r="AB8" s="91">
        <v>1118</v>
      </c>
      <c r="AC8" s="91">
        <v>4201</v>
      </c>
      <c r="AD8" s="91">
        <v>1372</v>
      </c>
      <c r="AE8" s="91">
        <v>7718</v>
      </c>
      <c r="AF8" s="91">
        <v>-8683</v>
      </c>
      <c r="AG8" s="91">
        <v>-22349</v>
      </c>
      <c r="AH8" s="76"/>
      <c r="AI8" s="76"/>
      <c r="AJ8" s="76"/>
      <c r="AK8" s="76"/>
      <c r="AL8" s="91">
        <v>4692.96</v>
      </c>
      <c r="AM8" s="91">
        <v>35984.82</v>
      </c>
      <c r="AN8" s="91">
        <v>-218</v>
      </c>
      <c r="AO8" s="91">
        <v>-579</v>
      </c>
      <c r="AP8" s="91">
        <v>387</v>
      </c>
      <c r="AQ8" s="91">
        <v>2117</v>
      </c>
      <c r="AR8" s="76">
        <v>9105</v>
      </c>
      <c r="AS8" s="76">
        <v>68939</v>
      </c>
      <c r="AT8" s="91">
        <v>5309</v>
      </c>
      <c r="AU8" s="91">
        <v>30462</v>
      </c>
      <c r="AV8" s="91">
        <v>27611</v>
      </c>
      <c r="AW8" s="91">
        <v>96089</v>
      </c>
      <c r="AX8" s="91">
        <v>802</v>
      </c>
      <c r="AY8" s="91">
        <v>3315</v>
      </c>
      <c r="AZ8" s="76"/>
      <c r="BA8" s="76"/>
      <c r="BB8" s="91">
        <v>26497</v>
      </c>
      <c r="BC8" s="91">
        <v>127591</v>
      </c>
      <c r="BD8" s="91">
        <v>52376</v>
      </c>
      <c r="BE8" s="91">
        <v>323201</v>
      </c>
      <c r="BF8" s="91">
        <v>21745</v>
      </c>
      <c r="BG8" s="91">
        <v>113326</v>
      </c>
      <c r="BH8" s="91">
        <v>28060</v>
      </c>
      <c r="BI8" s="91">
        <v>105278</v>
      </c>
      <c r="BJ8" s="91">
        <v>2388</v>
      </c>
      <c r="BK8" s="91">
        <v>15645</v>
      </c>
      <c r="BL8" s="68">
        <f t="shared" si="0"/>
        <v>183263.6</v>
      </c>
      <c r="BM8" s="68">
        <f t="shared" si="1"/>
        <v>1028961.56</v>
      </c>
    </row>
    <row r="9" spans="1:65" s="7" customFormat="1" x14ac:dyDescent="0.25">
      <c r="A9" s="10" t="s">
        <v>277</v>
      </c>
      <c r="B9" s="10"/>
      <c r="C9" s="10">
        <v>2</v>
      </c>
      <c r="D9" s="10"/>
      <c r="E9" s="10"/>
      <c r="F9" s="10"/>
      <c r="G9" s="10"/>
      <c r="H9" s="10">
        <v>7587</v>
      </c>
      <c r="I9" s="10">
        <v>27601</v>
      </c>
      <c r="J9" s="10"/>
      <c r="K9" s="10"/>
      <c r="L9" s="10">
        <v>6709</v>
      </c>
      <c r="M9" s="10">
        <v>18531</v>
      </c>
      <c r="N9" s="10"/>
      <c r="O9" s="10"/>
      <c r="P9" s="127">
        <v>172.15</v>
      </c>
      <c r="Q9" s="127">
        <v>603.62</v>
      </c>
      <c r="R9" s="10">
        <v>4283.68</v>
      </c>
      <c r="S9" s="10">
        <v>17569.830000000002</v>
      </c>
      <c r="T9" s="10">
        <v>1671</v>
      </c>
      <c r="U9" s="10">
        <v>7630</v>
      </c>
      <c r="V9" s="10">
        <v>6748</v>
      </c>
      <c r="W9" s="10">
        <v>31047</v>
      </c>
      <c r="X9" s="10">
        <v>15305</v>
      </c>
      <c r="Y9" s="10">
        <v>73971</v>
      </c>
      <c r="Z9" s="10">
        <v>4785</v>
      </c>
      <c r="AA9" s="10">
        <v>18008</v>
      </c>
      <c r="AB9" s="10">
        <v>556</v>
      </c>
      <c r="AC9" s="10">
        <v>1961</v>
      </c>
      <c r="AD9" s="10">
        <v>789</v>
      </c>
      <c r="AE9" s="10">
        <v>3082</v>
      </c>
      <c r="AF9" s="10">
        <v>2037</v>
      </c>
      <c r="AG9" s="10">
        <v>5706</v>
      </c>
      <c r="AH9" s="10"/>
      <c r="AI9" s="10"/>
      <c r="AJ9" s="10"/>
      <c r="AK9" s="10"/>
      <c r="AL9" s="10">
        <v>22480.21</v>
      </c>
      <c r="AM9" s="10">
        <v>92889.44</v>
      </c>
      <c r="AN9" s="10">
        <v>741</v>
      </c>
      <c r="AO9" s="10">
        <v>1395</v>
      </c>
      <c r="AP9" s="10">
        <v>67</v>
      </c>
      <c r="AQ9" s="10">
        <v>133</v>
      </c>
      <c r="AR9" s="10">
        <v>4709</v>
      </c>
      <c r="AS9" s="10">
        <v>33632</v>
      </c>
      <c r="AT9" s="10">
        <v>1380</v>
      </c>
      <c r="AU9" s="10">
        <v>6223</v>
      </c>
      <c r="AV9" s="10">
        <v>12795</v>
      </c>
      <c r="AW9" s="10">
        <v>39812</v>
      </c>
      <c r="AX9" s="10">
        <v>1052</v>
      </c>
      <c r="AY9" s="10">
        <v>3349</v>
      </c>
      <c r="AZ9" s="10"/>
      <c r="BA9" s="10"/>
      <c r="BB9" s="10">
        <v>11244</v>
      </c>
      <c r="BC9" s="10">
        <v>48432</v>
      </c>
      <c r="BD9" s="10">
        <v>78841</v>
      </c>
      <c r="BE9" s="10">
        <v>282055</v>
      </c>
      <c r="BF9" s="10">
        <v>17704</v>
      </c>
      <c r="BG9" s="10">
        <v>74998</v>
      </c>
      <c r="BH9" s="10">
        <v>23822</v>
      </c>
      <c r="BI9" s="10">
        <v>104515</v>
      </c>
      <c r="BJ9" s="10">
        <v>1888</v>
      </c>
      <c r="BK9" s="10">
        <v>6487</v>
      </c>
      <c r="BL9" s="63">
        <f t="shared" si="0"/>
        <v>227366.04</v>
      </c>
      <c r="BM9" s="63">
        <f t="shared" si="1"/>
        <v>899632.89</v>
      </c>
    </row>
    <row r="10" spans="1:65" x14ac:dyDescent="0.25">
      <c r="A10" s="91" t="s">
        <v>278</v>
      </c>
      <c r="B10" s="91">
        <v>1</v>
      </c>
      <c r="C10" s="91">
        <v>1</v>
      </c>
      <c r="D10" s="91"/>
      <c r="E10" s="91"/>
      <c r="F10" s="91"/>
      <c r="G10" s="91"/>
      <c r="H10" s="91">
        <v>29887</v>
      </c>
      <c r="I10" s="91">
        <v>28963</v>
      </c>
      <c r="J10" s="91"/>
      <c r="K10" s="91"/>
      <c r="L10" s="91">
        <v>40645</v>
      </c>
      <c r="M10" s="91">
        <v>37390</v>
      </c>
      <c r="N10" s="91"/>
      <c r="O10" s="91"/>
      <c r="P10" s="90">
        <v>522.95000000000005</v>
      </c>
      <c r="Q10" s="90">
        <v>259.33</v>
      </c>
      <c r="R10" s="91">
        <v>16339.4</v>
      </c>
      <c r="S10" s="91">
        <v>14146.29</v>
      </c>
      <c r="T10" s="91">
        <v>5695</v>
      </c>
      <c r="U10" s="91">
        <v>2806</v>
      </c>
      <c r="V10" s="91">
        <v>40741</v>
      </c>
      <c r="W10" s="91">
        <v>37927</v>
      </c>
      <c r="X10" s="91">
        <v>48518</v>
      </c>
      <c r="Y10" s="91">
        <v>32549</v>
      </c>
      <c r="Z10" s="91"/>
      <c r="AA10" s="91">
        <v>5551</v>
      </c>
      <c r="AB10" s="91">
        <v>3664</v>
      </c>
      <c r="AC10" s="91">
        <v>3023</v>
      </c>
      <c r="AD10" s="91">
        <v>4590</v>
      </c>
      <c r="AE10" s="91">
        <v>4194</v>
      </c>
      <c r="AF10" s="91">
        <v>5087</v>
      </c>
      <c r="AG10" s="91">
        <v>3260</v>
      </c>
      <c r="AH10" s="91"/>
      <c r="AI10" s="91"/>
      <c r="AJ10" s="91"/>
      <c r="AK10" s="91"/>
      <c r="AL10" s="91">
        <v>46365.25</v>
      </c>
      <c r="AM10" s="91">
        <v>42346.28</v>
      </c>
      <c r="AN10" s="91">
        <v>12320</v>
      </c>
      <c r="AO10" s="91">
        <v>12363</v>
      </c>
      <c r="AP10" s="91">
        <v>115</v>
      </c>
      <c r="AQ10" s="91">
        <v>215</v>
      </c>
      <c r="AR10" s="91">
        <v>20057</v>
      </c>
      <c r="AS10" s="91">
        <v>17242</v>
      </c>
      <c r="AT10" s="91">
        <v>9843</v>
      </c>
      <c r="AU10" s="91">
        <v>9658</v>
      </c>
      <c r="AV10" s="91">
        <v>79733</v>
      </c>
      <c r="AW10" s="91">
        <v>78486</v>
      </c>
      <c r="AX10" s="91"/>
      <c r="AY10" s="91">
        <v>5681</v>
      </c>
      <c r="AZ10" s="91"/>
      <c r="BA10" s="91"/>
      <c r="BB10" s="91">
        <v>51897</v>
      </c>
      <c r="BC10" s="91">
        <v>44663</v>
      </c>
      <c r="BD10" s="91">
        <v>184357</v>
      </c>
      <c r="BE10" s="91">
        <v>181066</v>
      </c>
      <c r="BF10" s="91">
        <v>0</v>
      </c>
      <c r="BG10" s="91">
        <v>0</v>
      </c>
      <c r="BH10" s="91">
        <v>55373</v>
      </c>
      <c r="BI10" s="91">
        <v>46885</v>
      </c>
      <c r="BJ10" s="91">
        <v>10756</v>
      </c>
      <c r="BK10" s="91">
        <v>10419</v>
      </c>
      <c r="BL10" s="68">
        <f t="shared" si="0"/>
        <v>666506.6</v>
      </c>
      <c r="BM10" s="68">
        <f t="shared" si="1"/>
        <v>619093.9</v>
      </c>
    </row>
    <row r="11" spans="1:65" x14ac:dyDescent="0.25">
      <c r="A11" s="2" t="s">
        <v>279</v>
      </c>
      <c r="B11" s="91">
        <v>0</v>
      </c>
      <c r="C11" s="91">
        <v>0</v>
      </c>
      <c r="D11" s="91"/>
      <c r="E11" s="91"/>
      <c r="F11" s="91"/>
      <c r="G11" s="91"/>
      <c r="H11" s="91">
        <v>31340</v>
      </c>
      <c r="I11" s="91">
        <v>31340</v>
      </c>
      <c r="J11" s="91"/>
      <c r="K11" s="91"/>
      <c r="L11" s="91">
        <v>43602</v>
      </c>
      <c r="M11" s="91">
        <v>43602</v>
      </c>
      <c r="N11" s="91"/>
      <c r="O11" s="91"/>
      <c r="P11" s="90">
        <v>528.26</v>
      </c>
      <c r="Q11" s="90">
        <v>528.26</v>
      </c>
      <c r="R11" s="91">
        <v>15455.8</v>
      </c>
      <c r="S11" s="91">
        <v>15455.8</v>
      </c>
      <c r="T11" s="91">
        <v>4740</v>
      </c>
      <c r="U11" s="91">
        <v>4740</v>
      </c>
      <c r="V11" s="91">
        <v>-40539</v>
      </c>
      <c r="W11" s="91">
        <v>-40539</v>
      </c>
      <c r="X11" s="91">
        <v>45272</v>
      </c>
      <c r="Y11" s="91">
        <v>45272</v>
      </c>
      <c r="Z11" s="91">
        <v>229</v>
      </c>
      <c r="AA11" s="91">
        <v>11088</v>
      </c>
      <c r="AB11" s="91">
        <v>3816</v>
      </c>
      <c r="AC11" s="91">
        <v>3816</v>
      </c>
      <c r="AD11" s="91">
        <v>4768</v>
      </c>
      <c r="AE11" s="91">
        <v>4768</v>
      </c>
      <c r="AF11" s="91">
        <v>-6193</v>
      </c>
      <c r="AG11" s="91">
        <v>-6193</v>
      </c>
      <c r="AH11" s="91"/>
      <c r="AI11" s="91"/>
      <c r="AJ11" s="91"/>
      <c r="AK11" s="91"/>
      <c r="AL11" s="91">
        <v>42296.79</v>
      </c>
      <c r="AM11" s="91">
        <v>42296.79</v>
      </c>
      <c r="AN11" s="91">
        <v>-12808</v>
      </c>
      <c r="AO11" s="91">
        <v>-12808</v>
      </c>
      <c r="AP11" s="91">
        <v>73</v>
      </c>
      <c r="AQ11" s="91">
        <v>73</v>
      </c>
      <c r="AR11" s="91">
        <v>16460</v>
      </c>
      <c r="AS11" s="91">
        <v>16460</v>
      </c>
      <c r="AT11" s="91">
        <v>9757</v>
      </c>
      <c r="AU11" s="91">
        <v>9757</v>
      </c>
      <c r="AV11" s="91">
        <v>83503</v>
      </c>
      <c r="AW11" s="91">
        <v>83503</v>
      </c>
      <c r="AX11" s="91">
        <v>458</v>
      </c>
      <c r="AY11" s="91">
        <v>6793</v>
      </c>
      <c r="AZ11" s="91"/>
      <c r="BA11" s="91"/>
      <c r="BB11" s="91">
        <v>52162</v>
      </c>
      <c r="BC11" s="91">
        <v>52162</v>
      </c>
      <c r="BD11" s="91">
        <v>179912</v>
      </c>
      <c r="BE11" s="91">
        <v>179912</v>
      </c>
      <c r="BF11" s="91">
        <v>1963</v>
      </c>
      <c r="BG11" s="91">
        <v>22</v>
      </c>
      <c r="BH11" s="91">
        <v>60424</v>
      </c>
      <c r="BI11" s="91">
        <v>60424</v>
      </c>
      <c r="BJ11" s="91">
        <v>-10941</v>
      </c>
      <c r="BK11" s="91">
        <v>-10941</v>
      </c>
      <c r="BL11" s="68">
        <f t="shared" si="0"/>
        <v>526278.85</v>
      </c>
      <c r="BM11" s="68">
        <f t="shared" si="1"/>
        <v>541531.85</v>
      </c>
    </row>
    <row r="12" spans="1:65" s="7" customFormat="1" x14ac:dyDescent="0.25">
      <c r="A12" s="10" t="s">
        <v>192</v>
      </c>
      <c r="B12" s="10">
        <v>1</v>
      </c>
      <c r="C12" s="10">
        <v>3</v>
      </c>
      <c r="D12" s="10"/>
      <c r="E12" s="10"/>
      <c r="F12" s="10"/>
      <c r="G12" s="10"/>
      <c r="H12" s="10">
        <v>6134</v>
      </c>
      <c r="I12" s="10">
        <v>25224</v>
      </c>
      <c r="J12" s="10"/>
      <c r="K12" s="10"/>
      <c r="L12" s="10">
        <v>3752</v>
      </c>
      <c r="M12" s="10">
        <v>12319</v>
      </c>
      <c r="N12" s="10"/>
      <c r="O12" s="10"/>
      <c r="P12" s="127">
        <v>166.84</v>
      </c>
      <c r="Q12" s="127">
        <v>334.69</v>
      </c>
      <c r="R12" s="10">
        <v>5167.29</v>
      </c>
      <c r="S12" s="10">
        <v>16260.32</v>
      </c>
      <c r="T12" s="10">
        <v>2626</v>
      </c>
      <c r="U12" s="10">
        <v>5696</v>
      </c>
      <c r="V12" s="10">
        <v>6950</v>
      </c>
      <c r="W12" s="10">
        <v>28435</v>
      </c>
      <c r="X12" s="10">
        <v>18551</v>
      </c>
      <c r="Y12" s="10">
        <v>67447</v>
      </c>
      <c r="Z12" s="10">
        <v>4556</v>
      </c>
      <c r="AA12" s="10">
        <v>12471</v>
      </c>
      <c r="AB12" s="10">
        <v>405</v>
      </c>
      <c r="AC12" s="10">
        <v>1169</v>
      </c>
      <c r="AD12" s="10">
        <v>611</v>
      </c>
      <c r="AE12" s="10">
        <v>2507</v>
      </c>
      <c r="AF12" s="10">
        <v>931</v>
      </c>
      <c r="AG12" s="10">
        <v>2773</v>
      </c>
      <c r="AH12" s="10"/>
      <c r="AI12" s="10"/>
      <c r="AJ12" s="10"/>
      <c r="AK12" s="10"/>
      <c r="AL12" s="10">
        <v>26548.67</v>
      </c>
      <c r="AM12" s="10">
        <v>92938.93</v>
      </c>
      <c r="AN12" s="10">
        <v>253</v>
      </c>
      <c r="AO12" s="10">
        <v>949</v>
      </c>
      <c r="AP12" s="10">
        <v>109</v>
      </c>
      <c r="AQ12" s="10">
        <v>275</v>
      </c>
      <c r="AR12" s="10">
        <v>8306</v>
      </c>
      <c r="AS12" s="10">
        <v>34414</v>
      </c>
      <c r="AT12" s="10">
        <v>1465</v>
      </c>
      <c r="AU12" s="10">
        <v>6123</v>
      </c>
      <c r="AV12" s="10">
        <v>9025</v>
      </c>
      <c r="AW12" s="10">
        <v>34795</v>
      </c>
      <c r="AX12" s="10">
        <v>594</v>
      </c>
      <c r="AY12" s="10">
        <v>2237</v>
      </c>
      <c r="AZ12" s="10"/>
      <c r="BA12" s="10"/>
      <c r="BB12" s="10">
        <v>10978</v>
      </c>
      <c r="BC12" s="10">
        <v>40933</v>
      </c>
      <c r="BD12" s="10">
        <v>83285</v>
      </c>
      <c r="BE12" s="10">
        <v>283208</v>
      </c>
      <c r="BF12" s="10">
        <v>15741</v>
      </c>
      <c r="BG12" s="10">
        <v>74976</v>
      </c>
      <c r="BH12" s="10">
        <v>18771</v>
      </c>
      <c r="BI12" s="10">
        <v>90976</v>
      </c>
      <c r="BJ12" s="10">
        <v>1703</v>
      </c>
      <c r="BK12" s="10">
        <v>5966</v>
      </c>
      <c r="BL12" s="63">
        <f t="shared" si="0"/>
        <v>226629.8</v>
      </c>
      <c r="BM12" s="63">
        <f t="shared" si="1"/>
        <v>842429.94</v>
      </c>
    </row>
    <row r="14" spans="1:65" x14ac:dyDescent="0.25">
      <c r="A14" s="23" t="s">
        <v>183</v>
      </c>
    </row>
    <row r="15" spans="1:65" x14ac:dyDescent="0.25">
      <c r="A15" s="1" t="s">
        <v>0</v>
      </c>
      <c r="B15" s="154" t="s">
        <v>1</v>
      </c>
      <c r="C15" s="155"/>
      <c r="D15" s="154" t="s">
        <v>234</v>
      </c>
      <c r="E15" s="155"/>
      <c r="F15" s="154" t="s">
        <v>2</v>
      </c>
      <c r="G15" s="155"/>
      <c r="H15" s="154" t="s">
        <v>3</v>
      </c>
      <c r="I15" s="155"/>
      <c r="J15" s="154" t="s">
        <v>243</v>
      </c>
      <c r="K15" s="155"/>
      <c r="L15" s="154" t="s">
        <v>235</v>
      </c>
      <c r="M15" s="155"/>
      <c r="N15" s="154" t="s">
        <v>5</v>
      </c>
      <c r="O15" s="155"/>
      <c r="P15" s="154" t="s">
        <v>4</v>
      </c>
      <c r="Q15" s="155"/>
      <c r="R15" s="154" t="s">
        <v>6</v>
      </c>
      <c r="S15" s="155"/>
      <c r="T15" s="154" t="s">
        <v>246</v>
      </c>
      <c r="U15" s="155"/>
      <c r="V15" s="154" t="s">
        <v>7</v>
      </c>
      <c r="W15" s="155"/>
      <c r="X15" s="154" t="s">
        <v>8</v>
      </c>
      <c r="Y15" s="155"/>
      <c r="Z15" s="154" t="s">
        <v>9</v>
      </c>
      <c r="AA15" s="155"/>
      <c r="AB15" s="154" t="s">
        <v>242</v>
      </c>
      <c r="AC15" s="155"/>
      <c r="AD15" s="154" t="s">
        <v>10</v>
      </c>
      <c r="AE15" s="155"/>
      <c r="AF15" s="154" t="s">
        <v>11</v>
      </c>
      <c r="AG15" s="155"/>
      <c r="AH15" s="154" t="s">
        <v>236</v>
      </c>
      <c r="AI15" s="155"/>
      <c r="AJ15" s="154" t="s">
        <v>245</v>
      </c>
      <c r="AK15" s="155"/>
      <c r="AL15" s="154" t="s">
        <v>12</v>
      </c>
      <c r="AM15" s="155"/>
      <c r="AN15" s="154" t="s">
        <v>237</v>
      </c>
      <c r="AO15" s="155"/>
      <c r="AP15" s="154" t="s">
        <v>238</v>
      </c>
      <c r="AQ15" s="155"/>
      <c r="AR15" s="154" t="s">
        <v>241</v>
      </c>
      <c r="AS15" s="155"/>
      <c r="AT15" s="154" t="s">
        <v>13</v>
      </c>
      <c r="AU15" s="155"/>
      <c r="AV15" s="154" t="s">
        <v>14</v>
      </c>
      <c r="AW15" s="155"/>
      <c r="AX15" s="154" t="s">
        <v>15</v>
      </c>
      <c r="AY15" s="155"/>
      <c r="AZ15" s="154" t="s">
        <v>16</v>
      </c>
      <c r="BA15" s="155"/>
      <c r="BB15" s="154" t="s">
        <v>17</v>
      </c>
      <c r="BC15" s="155"/>
      <c r="BD15" s="154" t="s">
        <v>239</v>
      </c>
      <c r="BE15" s="155"/>
      <c r="BF15" s="154" t="s">
        <v>240</v>
      </c>
      <c r="BG15" s="155"/>
      <c r="BH15" s="154" t="s">
        <v>18</v>
      </c>
      <c r="BI15" s="155"/>
      <c r="BJ15" s="154" t="s">
        <v>19</v>
      </c>
      <c r="BK15" s="155"/>
      <c r="BL15" s="156" t="s">
        <v>20</v>
      </c>
      <c r="BM15" s="157"/>
    </row>
    <row r="16" spans="1:65" ht="30" x14ac:dyDescent="0.25">
      <c r="A16" s="1"/>
      <c r="B16" s="53" t="s">
        <v>300</v>
      </c>
      <c r="C16" s="54" t="s">
        <v>301</v>
      </c>
      <c r="D16" s="53" t="s">
        <v>300</v>
      </c>
      <c r="E16" s="54" t="s">
        <v>301</v>
      </c>
      <c r="F16" s="53" t="s">
        <v>300</v>
      </c>
      <c r="G16" s="54" t="s">
        <v>301</v>
      </c>
      <c r="H16" s="53" t="s">
        <v>300</v>
      </c>
      <c r="I16" s="54" t="s">
        <v>301</v>
      </c>
      <c r="J16" s="53" t="s">
        <v>300</v>
      </c>
      <c r="K16" s="54" t="s">
        <v>301</v>
      </c>
      <c r="L16" s="53" t="s">
        <v>300</v>
      </c>
      <c r="M16" s="54" t="s">
        <v>301</v>
      </c>
      <c r="N16" s="53" t="s">
        <v>300</v>
      </c>
      <c r="O16" s="54" t="s">
        <v>301</v>
      </c>
      <c r="P16" s="53" t="s">
        <v>300</v>
      </c>
      <c r="Q16" s="54" t="s">
        <v>301</v>
      </c>
      <c r="R16" s="53" t="s">
        <v>300</v>
      </c>
      <c r="S16" s="54" t="s">
        <v>301</v>
      </c>
      <c r="T16" s="53" t="s">
        <v>300</v>
      </c>
      <c r="U16" s="54" t="s">
        <v>301</v>
      </c>
      <c r="V16" s="53" t="s">
        <v>300</v>
      </c>
      <c r="W16" s="54" t="s">
        <v>301</v>
      </c>
      <c r="X16" s="53" t="s">
        <v>300</v>
      </c>
      <c r="Y16" s="54" t="s">
        <v>301</v>
      </c>
      <c r="Z16" s="53" t="s">
        <v>300</v>
      </c>
      <c r="AA16" s="54" t="s">
        <v>301</v>
      </c>
      <c r="AB16" s="53" t="s">
        <v>300</v>
      </c>
      <c r="AC16" s="54" t="s">
        <v>301</v>
      </c>
      <c r="AD16" s="53" t="s">
        <v>300</v>
      </c>
      <c r="AE16" s="54" t="s">
        <v>301</v>
      </c>
      <c r="AF16" s="53" t="s">
        <v>300</v>
      </c>
      <c r="AG16" s="54" t="s">
        <v>301</v>
      </c>
      <c r="AH16" s="53" t="s">
        <v>300</v>
      </c>
      <c r="AI16" s="54" t="s">
        <v>301</v>
      </c>
      <c r="AJ16" s="53" t="s">
        <v>300</v>
      </c>
      <c r="AK16" s="54" t="s">
        <v>301</v>
      </c>
      <c r="AL16" s="53" t="s">
        <v>300</v>
      </c>
      <c r="AM16" s="54" t="s">
        <v>301</v>
      </c>
      <c r="AN16" s="53" t="s">
        <v>300</v>
      </c>
      <c r="AO16" s="54" t="s">
        <v>301</v>
      </c>
      <c r="AP16" s="53" t="s">
        <v>300</v>
      </c>
      <c r="AQ16" s="54" t="s">
        <v>301</v>
      </c>
      <c r="AR16" s="53" t="s">
        <v>300</v>
      </c>
      <c r="AS16" s="54" t="s">
        <v>301</v>
      </c>
      <c r="AT16" s="53" t="s">
        <v>300</v>
      </c>
      <c r="AU16" s="54" t="s">
        <v>301</v>
      </c>
      <c r="AV16" s="53" t="s">
        <v>300</v>
      </c>
      <c r="AW16" s="54" t="s">
        <v>301</v>
      </c>
      <c r="AX16" s="53" t="s">
        <v>300</v>
      </c>
      <c r="AY16" s="54" t="s">
        <v>301</v>
      </c>
      <c r="AZ16" s="53" t="s">
        <v>300</v>
      </c>
      <c r="BA16" s="54" t="s">
        <v>301</v>
      </c>
      <c r="BB16" s="53" t="s">
        <v>300</v>
      </c>
      <c r="BC16" s="54" t="s">
        <v>301</v>
      </c>
      <c r="BD16" s="53" t="s">
        <v>300</v>
      </c>
      <c r="BE16" s="54" t="s">
        <v>301</v>
      </c>
      <c r="BF16" s="53" t="s">
        <v>300</v>
      </c>
      <c r="BG16" s="54" t="s">
        <v>301</v>
      </c>
      <c r="BH16" s="53" t="s">
        <v>300</v>
      </c>
      <c r="BI16" s="54" t="s">
        <v>301</v>
      </c>
      <c r="BJ16" s="53" t="s">
        <v>300</v>
      </c>
      <c r="BK16" s="54" t="s">
        <v>301</v>
      </c>
      <c r="BL16" s="104" t="s">
        <v>300</v>
      </c>
      <c r="BM16" s="105" t="s">
        <v>301</v>
      </c>
    </row>
    <row r="17" spans="1:65" x14ac:dyDescent="0.25">
      <c r="A17" s="91" t="s">
        <v>274</v>
      </c>
      <c r="B17" s="76"/>
      <c r="C17" s="76"/>
      <c r="D17" s="76"/>
      <c r="E17" s="76"/>
      <c r="F17" s="76"/>
      <c r="G17" s="76"/>
      <c r="H17" s="91">
        <v>5255</v>
      </c>
      <c r="I17" s="91">
        <v>21175</v>
      </c>
      <c r="J17" s="76"/>
      <c r="K17" s="76"/>
      <c r="L17" s="91">
        <v>2657</v>
      </c>
      <c r="M17" s="91">
        <v>7855</v>
      </c>
      <c r="N17" s="76"/>
      <c r="O17" s="76"/>
      <c r="P17" s="90">
        <v>113.58</v>
      </c>
      <c r="Q17" s="90">
        <v>291.27</v>
      </c>
      <c r="R17" s="91">
        <v>2129.69</v>
      </c>
      <c r="S17" s="91">
        <v>8444.0300000000007</v>
      </c>
      <c r="T17" s="91">
        <v>211</v>
      </c>
      <c r="U17" s="91">
        <v>1397</v>
      </c>
      <c r="V17" s="91">
        <v>3661</v>
      </c>
      <c r="W17" s="91">
        <v>17344</v>
      </c>
      <c r="X17" s="91">
        <v>15444</v>
      </c>
      <c r="Y17" s="91">
        <v>62504</v>
      </c>
      <c r="Z17" s="91">
        <v>6833</v>
      </c>
      <c r="AA17" s="91">
        <v>6833</v>
      </c>
      <c r="AB17" s="91">
        <v>219</v>
      </c>
      <c r="AC17" s="91">
        <v>490</v>
      </c>
      <c r="AD17" s="91">
        <v>980</v>
      </c>
      <c r="AE17" s="91">
        <v>3912</v>
      </c>
      <c r="AF17" s="91">
        <v>1144</v>
      </c>
      <c r="AG17" s="91">
        <v>2391</v>
      </c>
      <c r="AH17" s="76"/>
      <c r="AI17" s="76"/>
      <c r="AJ17" s="76"/>
      <c r="AK17" s="76"/>
      <c r="AL17" s="91">
        <v>7095.88</v>
      </c>
      <c r="AM17" s="91">
        <v>23223.040000000001</v>
      </c>
      <c r="AN17" s="76"/>
      <c r="AO17" s="76"/>
      <c r="AP17" s="91"/>
      <c r="AQ17" s="91">
        <v>1</v>
      </c>
      <c r="AR17" s="76">
        <v>1647</v>
      </c>
      <c r="AS17" s="76">
        <v>10820</v>
      </c>
      <c r="AT17" s="91">
        <v>1167</v>
      </c>
      <c r="AU17" s="91">
        <v>4597</v>
      </c>
      <c r="AV17" s="91">
        <v>1553</v>
      </c>
      <c r="AW17" s="91">
        <v>6224</v>
      </c>
      <c r="AX17" s="91">
        <v>45</v>
      </c>
      <c r="AY17" s="91">
        <v>164</v>
      </c>
      <c r="AZ17" s="76"/>
      <c r="BA17" s="76"/>
      <c r="BB17" s="91">
        <v>14640</v>
      </c>
      <c r="BC17" s="91">
        <v>54330</v>
      </c>
      <c r="BD17" s="91">
        <v>23873</v>
      </c>
      <c r="BE17" s="91">
        <v>91056</v>
      </c>
      <c r="BF17" s="91">
        <v>9436</v>
      </c>
      <c r="BG17" s="91">
        <v>41943</v>
      </c>
      <c r="BH17" s="91">
        <v>9763</v>
      </c>
      <c r="BI17" s="91">
        <v>37479</v>
      </c>
      <c r="BJ17" s="91">
        <v>1064</v>
      </c>
      <c r="BK17" s="91">
        <v>4562</v>
      </c>
      <c r="BL17" s="68">
        <f t="shared" ref="BL17:BL23" si="2">SUM(B17+D17+F17+H17+J17+L17+N17+P17+R17+T17+V17+X17+Z17+AB17+AD17+AF17+AH17+AJ17+AL17+AN17+AP17+AR17+AT17+AV17+AX17+AZ17+BB17+BD17+BF17+BH17+BJ17)</f>
        <v>108931.15</v>
      </c>
      <c r="BM17" s="68">
        <f t="shared" ref="BM17:BM23" si="3">SUM(C17+E17+G17+I17+K17+M17+O17+Q17+S17+U17+W17+Y17+AA17+AC17+AE17+AG17+AI17+AK17+AM17+AO17+AQ17+AS17+AU17+AW17+AY17+BA17+BC17+BE17+BG17+BI17+BK17)</f>
        <v>407035.33999999997</v>
      </c>
    </row>
    <row r="18" spans="1:65" x14ac:dyDescent="0.25">
      <c r="A18" s="91" t="s">
        <v>275</v>
      </c>
      <c r="B18" s="76"/>
      <c r="C18" s="76"/>
      <c r="D18" s="76"/>
      <c r="E18" s="76"/>
      <c r="F18" s="76"/>
      <c r="G18" s="76"/>
      <c r="H18" s="91"/>
      <c r="I18" s="91"/>
      <c r="J18" s="76"/>
      <c r="K18" s="76"/>
      <c r="L18" s="91"/>
      <c r="M18" s="91"/>
      <c r="N18" s="76"/>
      <c r="O18" s="76"/>
      <c r="P18" s="90"/>
      <c r="Q18" s="90"/>
      <c r="R18" s="91">
        <v>58.62</v>
      </c>
      <c r="S18" s="91">
        <v>150.16999999999999</v>
      </c>
      <c r="T18" s="91">
        <v>42</v>
      </c>
      <c r="U18" s="91">
        <v>209</v>
      </c>
      <c r="V18" s="91">
        <v>121</v>
      </c>
      <c r="W18" s="91">
        <v>760</v>
      </c>
      <c r="X18" s="91">
        <v>274</v>
      </c>
      <c r="Y18" s="91">
        <v>1648</v>
      </c>
      <c r="Z18" s="91">
        <v>59</v>
      </c>
      <c r="AA18" s="91">
        <v>59</v>
      </c>
      <c r="AB18" s="91"/>
      <c r="AC18" s="91">
        <v>6</v>
      </c>
      <c r="AD18" s="91"/>
      <c r="AE18" s="91">
        <v>13</v>
      </c>
      <c r="AF18" s="91">
        <v>60</v>
      </c>
      <c r="AG18" s="91">
        <v>259</v>
      </c>
      <c r="AH18" s="76"/>
      <c r="AI18" s="76"/>
      <c r="AJ18" s="76"/>
      <c r="AK18" s="76"/>
      <c r="AL18" s="91">
        <v>699.03</v>
      </c>
      <c r="AM18" s="91">
        <v>1229.8699999999999</v>
      </c>
      <c r="AN18" s="76"/>
      <c r="AO18" s="76"/>
      <c r="AP18" s="91"/>
      <c r="AQ18" s="91"/>
      <c r="AR18" s="76">
        <v>7</v>
      </c>
      <c r="AS18" s="76">
        <v>56</v>
      </c>
      <c r="AT18" s="91">
        <v>1</v>
      </c>
      <c r="AU18" s="91">
        <v>-13</v>
      </c>
      <c r="AV18" s="91">
        <v>194</v>
      </c>
      <c r="AW18" s="91">
        <v>624</v>
      </c>
      <c r="AX18" s="91"/>
      <c r="AY18" s="91"/>
      <c r="AZ18" s="76"/>
      <c r="BA18" s="76"/>
      <c r="BB18" s="91">
        <v>3773</v>
      </c>
      <c r="BC18" s="91">
        <v>6957</v>
      </c>
      <c r="BD18" s="91">
        <v>3348</v>
      </c>
      <c r="BE18" s="91">
        <v>4965</v>
      </c>
      <c r="BF18" s="91">
        <v>311</v>
      </c>
      <c r="BG18" s="91">
        <v>735</v>
      </c>
      <c r="BH18" s="91">
        <v>701</v>
      </c>
      <c r="BI18" s="91">
        <v>1010</v>
      </c>
      <c r="BJ18" s="91">
        <v>7</v>
      </c>
      <c r="BK18" s="91">
        <v>7</v>
      </c>
      <c r="BL18" s="68">
        <f t="shared" si="2"/>
        <v>9655.65</v>
      </c>
      <c r="BM18" s="68">
        <f t="shared" si="3"/>
        <v>18675.04</v>
      </c>
    </row>
    <row r="19" spans="1:65" x14ac:dyDescent="0.25">
      <c r="A19" s="91" t="s">
        <v>276</v>
      </c>
      <c r="B19" s="76"/>
      <c r="C19" s="76"/>
      <c r="D19" s="76"/>
      <c r="E19" s="76"/>
      <c r="F19" s="76"/>
      <c r="G19" s="76"/>
      <c r="H19" s="91">
        <v>-1912</v>
      </c>
      <c r="I19" s="91">
        <v>-8258</v>
      </c>
      <c r="J19" s="76"/>
      <c r="K19" s="76"/>
      <c r="L19" s="91">
        <v>1714</v>
      </c>
      <c r="M19" s="91">
        <v>4937</v>
      </c>
      <c r="N19" s="76"/>
      <c r="O19" s="76"/>
      <c r="P19" s="90">
        <v>112</v>
      </c>
      <c r="Q19" s="90">
        <v>273.77</v>
      </c>
      <c r="R19" s="91">
        <v>439.93</v>
      </c>
      <c r="S19" s="91">
        <v>1675.73</v>
      </c>
      <c r="T19" s="91">
        <v>238</v>
      </c>
      <c r="U19" s="91">
        <v>1524</v>
      </c>
      <c r="V19" s="91">
        <v>-1146</v>
      </c>
      <c r="W19" s="91">
        <v>-5495</v>
      </c>
      <c r="X19" s="91">
        <v>7493</v>
      </c>
      <c r="Y19" s="91">
        <v>25832</v>
      </c>
      <c r="Z19" s="91">
        <v>3595</v>
      </c>
      <c r="AA19" s="91">
        <v>3595</v>
      </c>
      <c r="AB19" s="91">
        <v>185</v>
      </c>
      <c r="AC19" s="91">
        <v>419</v>
      </c>
      <c r="AD19" s="91">
        <v>175</v>
      </c>
      <c r="AE19" s="91">
        <v>643</v>
      </c>
      <c r="AF19" s="91">
        <v>-1191</v>
      </c>
      <c r="AG19" s="91">
        <v>-2555</v>
      </c>
      <c r="AH19" s="76"/>
      <c r="AI19" s="76"/>
      <c r="AJ19" s="76"/>
      <c r="AK19" s="76"/>
      <c r="AL19" s="91">
        <v>4198.96</v>
      </c>
      <c r="AM19" s="91">
        <v>10961.63</v>
      </c>
      <c r="AN19" s="76"/>
      <c r="AO19" s="76"/>
      <c r="AP19" s="91"/>
      <c r="AQ19" s="91">
        <v>0</v>
      </c>
      <c r="AR19" s="76">
        <v>1301</v>
      </c>
      <c r="AS19" s="76">
        <v>8952</v>
      </c>
      <c r="AT19" s="91">
        <v>535</v>
      </c>
      <c r="AU19" s="91">
        <v>2080</v>
      </c>
      <c r="AV19" s="91">
        <v>660</v>
      </c>
      <c r="AW19" s="91">
        <v>1921</v>
      </c>
      <c r="AX19" s="91">
        <v>49</v>
      </c>
      <c r="AY19" s="91">
        <v>140</v>
      </c>
      <c r="AZ19" s="76"/>
      <c r="BA19" s="76"/>
      <c r="BB19" s="91">
        <v>4079</v>
      </c>
      <c r="BC19" s="91">
        <v>13530</v>
      </c>
      <c r="BD19" s="91">
        <v>11392</v>
      </c>
      <c r="BE19" s="91">
        <v>43878</v>
      </c>
      <c r="BF19" s="91">
        <v>4279</v>
      </c>
      <c r="BG19" s="91">
        <v>19883</v>
      </c>
      <c r="BH19" s="91">
        <v>3456</v>
      </c>
      <c r="BI19" s="91">
        <v>15262</v>
      </c>
      <c r="BJ19" s="91">
        <v>998</v>
      </c>
      <c r="BK19" s="91">
        <v>4146</v>
      </c>
      <c r="BL19" s="68">
        <f t="shared" si="2"/>
        <v>40650.89</v>
      </c>
      <c r="BM19" s="68">
        <f t="shared" si="3"/>
        <v>143345.13</v>
      </c>
    </row>
    <row r="20" spans="1:65" s="7" customFormat="1" x14ac:dyDescent="0.25">
      <c r="A20" s="10" t="s">
        <v>277</v>
      </c>
      <c r="B20" s="10"/>
      <c r="C20" s="10"/>
      <c r="D20" s="10"/>
      <c r="E20" s="10"/>
      <c r="F20" s="10"/>
      <c r="G20" s="10"/>
      <c r="H20" s="10">
        <v>3343</v>
      </c>
      <c r="I20" s="10">
        <v>12917</v>
      </c>
      <c r="J20" s="10"/>
      <c r="K20" s="10"/>
      <c r="L20" s="10">
        <v>943</v>
      </c>
      <c r="M20" s="10">
        <v>2918</v>
      </c>
      <c r="N20" s="10"/>
      <c r="O20" s="10"/>
      <c r="P20" s="127">
        <v>1.58</v>
      </c>
      <c r="Q20" s="127">
        <v>17.5</v>
      </c>
      <c r="R20" s="10">
        <v>1748.38</v>
      </c>
      <c r="S20" s="10">
        <v>6918.47</v>
      </c>
      <c r="T20" s="10">
        <v>15</v>
      </c>
      <c r="U20" s="10">
        <v>82</v>
      </c>
      <c r="V20" s="10">
        <v>2636</v>
      </c>
      <c r="W20" s="10">
        <v>12609</v>
      </c>
      <c r="X20" s="10">
        <v>8225</v>
      </c>
      <c r="Y20" s="10">
        <v>38320</v>
      </c>
      <c r="Z20" s="10">
        <v>3297</v>
      </c>
      <c r="AA20" s="10">
        <v>3297</v>
      </c>
      <c r="AB20" s="10">
        <v>33</v>
      </c>
      <c r="AC20" s="10">
        <v>77</v>
      </c>
      <c r="AD20" s="10">
        <v>805</v>
      </c>
      <c r="AE20" s="10">
        <v>3283</v>
      </c>
      <c r="AF20" s="10">
        <v>13</v>
      </c>
      <c r="AG20" s="10">
        <v>95</v>
      </c>
      <c r="AH20" s="10"/>
      <c r="AI20" s="10"/>
      <c r="AJ20" s="10"/>
      <c r="AK20" s="10"/>
      <c r="AL20" s="10">
        <v>3595.96</v>
      </c>
      <c r="AM20" s="10">
        <v>13491.28</v>
      </c>
      <c r="AN20" s="10"/>
      <c r="AO20" s="10"/>
      <c r="AP20" s="10"/>
      <c r="AQ20" s="10">
        <v>1</v>
      </c>
      <c r="AR20" s="10">
        <v>352</v>
      </c>
      <c r="AS20" s="10">
        <v>1924</v>
      </c>
      <c r="AT20" s="10">
        <v>633</v>
      </c>
      <c r="AU20" s="10">
        <v>2503</v>
      </c>
      <c r="AV20" s="10">
        <v>1087</v>
      </c>
      <c r="AW20" s="10">
        <v>4927</v>
      </c>
      <c r="AX20" s="10">
        <v>-4</v>
      </c>
      <c r="AY20" s="10">
        <v>24</v>
      </c>
      <c r="AZ20" s="10"/>
      <c r="BA20" s="10"/>
      <c r="BB20" s="10">
        <v>14334</v>
      </c>
      <c r="BC20" s="10">
        <v>47756</v>
      </c>
      <c r="BD20" s="10">
        <v>15829</v>
      </c>
      <c r="BE20" s="10">
        <v>52143</v>
      </c>
      <c r="BF20" s="10">
        <v>5468</v>
      </c>
      <c r="BG20" s="10">
        <v>22794</v>
      </c>
      <c r="BH20" s="10">
        <v>7008</v>
      </c>
      <c r="BI20" s="10">
        <v>23227</v>
      </c>
      <c r="BJ20" s="10">
        <v>72</v>
      </c>
      <c r="BK20" s="10">
        <v>422</v>
      </c>
      <c r="BL20" s="63">
        <f t="shared" si="2"/>
        <v>69434.92</v>
      </c>
      <c r="BM20" s="63">
        <f t="shared" si="3"/>
        <v>249746.25</v>
      </c>
    </row>
    <row r="21" spans="1:65" x14ac:dyDescent="0.25">
      <c r="A21" s="91" t="s">
        <v>278</v>
      </c>
      <c r="B21" s="91"/>
      <c r="C21" s="91"/>
      <c r="D21" s="91"/>
      <c r="E21" s="91"/>
      <c r="F21" s="91"/>
      <c r="G21" s="91"/>
      <c r="H21" s="91">
        <v>4003</v>
      </c>
      <c r="I21" s="91">
        <v>3029</v>
      </c>
      <c r="J21" s="91"/>
      <c r="K21" s="91"/>
      <c r="L21" s="91">
        <v>1057</v>
      </c>
      <c r="M21" s="91">
        <v>775</v>
      </c>
      <c r="N21" s="91"/>
      <c r="O21" s="91"/>
      <c r="P21" s="90">
        <v>7.92</v>
      </c>
      <c r="Q21" s="90">
        <v>21.61</v>
      </c>
      <c r="R21" s="91">
        <v>2091.7800000000002</v>
      </c>
      <c r="S21" s="91">
        <v>1682.61</v>
      </c>
      <c r="T21" s="91">
        <v>33</v>
      </c>
      <c r="U21" s="91">
        <v>38</v>
      </c>
      <c r="V21" s="91">
        <v>4313</v>
      </c>
      <c r="W21" s="91">
        <v>3246</v>
      </c>
      <c r="X21" s="91">
        <v>10735</v>
      </c>
      <c r="Y21" s="91">
        <v>6572</v>
      </c>
      <c r="Z21" s="91"/>
      <c r="AA21" s="91"/>
      <c r="AB21" s="91">
        <v>39</v>
      </c>
      <c r="AC21" s="91">
        <v>2</v>
      </c>
      <c r="AD21" s="91">
        <v>1097</v>
      </c>
      <c r="AE21" s="91">
        <v>947</v>
      </c>
      <c r="AF21" s="91">
        <v>35</v>
      </c>
      <c r="AG21" s="91">
        <v>34</v>
      </c>
      <c r="AH21" s="91"/>
      <c r="AI21" s="91"/>
      <c r="AJ21" s="91"/>
      <c r="AK21" s="91"/>
      <c r="AL21" s="91">
        <v>8134.49</v>
      </c>
      <c r="AM21" s="91">
        <v>7792.75</v>
      </c>
      <c r="AN21" s="91"/>
      <c r="AO21" s="91"/>
      <c r="AP21" s="91">
        <v>1</v>
      </c>
      <c r="AQ21" s="91">
        <v>1</v>
      </c>
      <c r="AR21" s="91">
        <v>623</v>
      </c>
      <c r="AS21" s="91">
        <v>336</v>
      </c>
      <c r="AT21" s="91">
        <v>1167</v>
      </c>
      <c r="AU21" s="91">
        <v>947</v>
      </c>
      <c r="AV21" s="91">
        <v>2130</v>
      </c>
      <c r="AW21" s="91">
        <v>1331</v>
      </c>
      <c r="AX21" s="91"/>
      <c r="AY21" s="91">
        <v>37</v>
      </c>
      <c r="AZ21" s="91"/>
      <c r="BA21" s="91"/>
      <c r="BB21" s="91">
        <v>16240</v>
      </c>
      <c r="BC21" s="91">
        <v>12422</v>
      </c>
      <c r="BD21" s="91">
        <v>23043</v>
      </c>
      <c r="BE21" s="91">
        <v>23801</v>
      </c>
      <c r="BF21" s="91">
        <v>0</v>
      </c>
      <c r="BG21" s="91">
        <v>0</v>
      </c>
      <c r="BH21" s="91">
        <v>13628</v>
      </c>
      <c r="BI21" s="91">
        <v>12846</v>
      </c>
      <c r="BJ21" s="91">
        <v>192</v>
      </c>
      <c r="BK21" s="91">
        <v>202</v>
      </c>
      <c r="BL21" s="68">
        <f t="shared" si="2"/>
        <v>88570.19</v>
      </c>
      <c r="BM21" s="68">
        <f t="shared" si="3"/>
        <v>76062.97</v>
      </c>
    </row>
    <row r="22" spans="1:65" x14ac:dyDescent="0.25">
      <c r="A22" s="2" t="s">
        <v>279</v>
      </c>
      <c r="B22" s="91"/>
      <c r="C22" s="91"/>
      <c r="D22" s="91"/>
      <c r="E22" s="91"/>
      <c r="F22" s="91"/>
      <c r="G22" s="91"/>
      <c r="H22" s="91">
        <v>3963</v>
      </c>
      <c r="I22" s="91">
        <v>3963</v>
      </c>
      <c r="J22" s="91"/>
      <c r="K22" s="91"/>
      <c r="L22" s="91">
        <v>1171</v>
      </c>
      <c r="M22" s="91">
        <v>1171</v>
      </c>
      <c r="N22" s="91"/>
      <c r="O22" s="91"/>
      <c r="P22" s="90">
        <v>4.21</v>
      </c>
      <c r="Q22" s="90">
        <v>4.21</v>
      </c>
      <c r="R22" s="91">
        <v>1915.3</v>
      </c>
      <c r="S22" s="91">
        <v>1915.3</v>
      </c>
      <c r="T22" s="91">
        <v>21</v>
      </c>
      <c r="U22" s="91">
        <v>21</v>
      </c>
      <c r="V22" s="91">
        <v>-3700</v>
      </c>
      <c r="W22" s="91">
        <v>-3700</v>
      </c>
      <c r="X22" s="91">
        <v>8595</v>
      </c>
      <c r="Y22" s="91">
        <v>8595</v>
      </c>
      <c r="Z22" s="91">
        <v>-720</v>
      </c>
      <c r="AA22" s="91">
        <v>-720</v>
      </c>
      <c r="AB22" s="91">
        <v>60</v>
      </c>
      <c r="AC22" s="91">
        <v>60</v>
      </c>
      <c r="AD22" s="91">
        <v>902</v>
      </c>
      <c r="AE22" s="91">
        <v>902</v>
      </c>
      <c r="AF22" s="91">
        <v>-23</v>
      </c>
      <c r="AG22" s="91">
        <v>-23</v>
      </c>
      <c r="AH22" s="91"/>
      <c r="AI22" s="91"/>
      <c r="AJ22" s="91"/>
      <c r="AK22" s="91"/>
      <c r="AL22" s="91">
        <v>7227.84</v>
      </c>
      <c r="AM22" s="91">
        <v>7227.84</v>
      </c>
      <c r="AN22" s="91"/>
      <c r="AO22" s="91"/>
      <c r="AP22" s="91"/>
      <c r="AQ22" s="91">
        <v>0</v>
      </c>
      <c r="AR22" s="91">
        <v>391</v>
      </c>
      <c r="AS22" s="91">
        <v>391</v>
      </c>
      <c r="AT22" s="91">
        <v>1252</v>
      </c>
      <c r="AU22" s="91">
        <v>1252</v>
      </c>
      <c r="AV22" s="91">
        <v>2133</v>
      </c>
      <c r="AW22" s="91">
        <v>2133</v>
      </c>
      <c r="AX22" s="91">
        <v>-5</v>
      </c>
      <c r="AY22" s="91">
        <v>11</v>
      </c>
      <c r="AZ22" s="91"/>
      <c r="BA22" s="91"/>
      <c r="BB22" s="91">
        <v>18235</v>
      </c>
      <c r="BC22" s="91">
        <v>18235</v>
      </c>
      <c r="BD22" s="91">
        <v>27391</v>
      </c>
      <c r="BE22" s="91">
        <v>27391</v>
      </c>
      <c r="BF22" s="91">
        <v>366</v>
      </c>
      <c r="BG22" s="91">
        <v>1793</v>
      </c>
      <c r="BH22" s="91">
        <v>15782</v>
      </c>
      <c r="BI22" s="91">
        <v>15782</v>
      </c>
      <c r="BJ22" s="91">
        <v>-157</v>
      </c>
      <c r="BK22" s="91">
        <v>-157</v>
      </c>
      <c r="BL22" s="68">
        <f t="shared" si="2"/>
        <v>84804.35</v>
      </c>
      <c r="BM22" s="68">
        <f t="shared" si="3"/>
        <v>86247.35</v>
      </c>
    </row>
    <row r="23" spans="1:65" s="7" customFormat="1" x14ac:dyDescent="0.25">
      <c r="A23" s="10" t="s">
        <v>192</v>
      </c>
      <c r="B23" s="10"/>
      <c r="C23" s="10"/>
      <c r="D23" s="10"/>
      <c r="E23" s="10"/>
      <c r="F23" s="10"/>
      <c r="G23" s="10"/>
      <c r="H23" s="10">
        <v>3382</v>
      </c>
      <c r="I23" s="10">
        <v>11983</v>
      </c>
      <c r="J23" s="10"/>
      <c r="K23" s="10"/>
      <c r="L23" s="10">
        <v>829</v>
      </c>
      <c r="M23" s="10">
        <v>2522</v>
      </c>
      <c r="N23" s="10"/>
      <c r="O23" s="10"/>
      <c r="P23" s="127">
        <v>5.29</v>
      </c>
      <c r="Q23" s="127">
        <v>34.9</v>
      </c>
      <c r="R23" s="10">
        <v>1924.86</v>
      </c>
      <c r="S23" s="10">
        <v>6685.79</v>
      </c>
      <c r="T23" s="10">
        <v>27</v>
      </c>
      <c r="U23" s="10">
        <v>99</v>
      </c>
      <c r="V23" s="10">
        <v>3249</v>
      </c>
      <c r="W23" s="10">
        <v>12155</v>
      </c>
      <c r="X23" s="10">
        <v>10365</v>
      </c>
      <c r="Y23" s="10">
        <v>37680</v>
      </c>
      <c r="Z23" s="10">
        <v>4017</v>
      </c>
      <c r="AA23" s="10">
        <v>4017</v>
      </c>
      <c r="AB23" s="10">
        <v>13</v>
      </c>
      <c r="AC23" s="10">
        <v>19</v>
      </c>
      <c r="AD23" s="10">
        <v>1000</v>
      </c>
      <c r="AE23" s="10">
        <v>3328</v>
      </c>
      <c r="AF23" s="10">
        <v>24</v>
      </c>
      <c r="AG23" s="10">
        <v>106</v>
      </c>
      <c r="AH23" s="10"/>
      <c r="AI23" s="10"/>
      <c r="AJ23" s="10"/>
      <c r="AK23" s="10"/>
      <c r="AL23" s="10">
        <v>4502.6099999999997</v>
      </c>
      <c r="AM23" s="10">
        <v>14056.19</v>
      </c>
      <c r="AN23" s="10"/>
      <c r="AO23" s="10"/>
      <c r="AP23" s="10"/>
      <c r="AQ23" s="10">
        <v>1</v>
      </c>
      <c r="AR23" s="10">
        <v>584</v>
      </c>
      <c r="AS23" s="10">
        <v>1869</v>
      </c>
      <c r="AT23" s="10">
        <v>549</v>
      </c>
      <c r="AU23" s="10">
        <v>2198</v>
      </c>
      <c r="AV23" s="10">
        <v>1084</v>
      </c>
      <c r="AW23" s="10">
        <v>4126</v>
      </c>
      <c r="AX23" s="10">
        <v>0</v>
      </c>
      <c r="AY23" s="10">
        <v>50</v>
      </c>
      <c r="AZ23" s="10"/>
      <c r="BA23" s="10"/>
      <c r="BB23" s="10">
        <v>12339</v>
      </c>
      <c r="BC23" s="10">
        <v>41944</v>
      </c>
      <c r="BD23" s="10">
        <v>11480</v>
      </c>
      <c r="BE23" s="10">
        <v>48553</v>
      </c>
      <c r="BF23" s="10">
        <v>5102</v>
      </c>
      <c r="BG23" s="10">
        <v>21001</v>
      </c>
      <c r="BH23" s="10">
        <v>4854</v>
      </c>
      <c r="BI23" s="10">
        <v>20291</v>
      </c>
      <c r="BJ23" s="10">
        <v>108</v>
      </c>
      <c r="BK23" s="10">
        <v>467</v>
      </c>
      <c r="BL23" s="63">
        <f t="shared" si="2"/>
        <v>65438.76</v>
      </c>
      <c r="BM23" s="63">
        <f t="shared" si="3"/>
        <v>233185.88</v>
      </c>
    </row>
    <row r="25" spans="1:65" x14ac:dyDescent="0.25">
      <c r="A25" s="23" t="s">
        <v>184</v>
      </c>
    </row>
    <row r="26" spans="1:65" x14ac:dyDescent="0.25">
      <c r="A26" s="1" t="s">
        <v>0</v>
      </c>
      <c r="B26" s="154" t="s">
        <v>1</v>
      </c>
      <c r="C26" s="155"/>
      <c r="D26" s="154" t="s">
        <v>234</v>
      </c>
      <c r="E26" s="155"/>
      <c r="F26" s="154" t="s">
        <v>2</v>
      </c>
      <c r="G26" s="155"/>
      <c r="H26" s="154" t="s">
        <v>3</v>
      </c>
      <c r="I26" s="155"/>
      <c r="J26" s="154" t="s">
        <v>243</v>
      </c>
      <c r="K26" s="155"/>
      <c r="L26" s="154" t="s">
        <v>235</v>
      </c>
      <c r="M26" s="155"/>
      <c r="N26" s="154" t="s">
        <v>5</v>
      </c>
      <c r="O26" s="155"/>
      <c r="P26" s="154" t="s">
        <v>4</v>
      </c>
      <c r="Q26" s="155"/>
      <c r="R26" s="154" t="s">
        <v>6</v>
      </c>
      <c r="S26" s="155"/>
      <c r="T26" s="154" t="s">
        <v>246</v>
      </c>
      <c r="U26" s="155"/>
      <c r="V26" s="154" t="s">
        <v>7</v>
      </c>
      <c r="W26" s="155"/>
      <c r="X26" s="154" t="s">
        <v>8</v>
      </c>
      <c r="Y26" s="155"/>
      <c r="Z26" s="154" t="s">
        <v>9</v>
      </c>
      <c r="AA26" s="155"/>
      <c r="AB26" s="154" t="s">
        <v>242</v>
      </c>
      <c r="AC26" s="155"/>
      <c r="AD26" s="154" t="s">
        <v>10</v>
      </c>
      <c r="AE26" s="155"/>
      <c r="AF26" s="154" t="s">
        <v>11</v>
      </c>
      <c r="AG26" s="155"/>
      <c r="AH26" s="154" t="s">
        <v>236</v>
      </c>
      <c r="AI26" s="155"/>
      <c r="AJ26" s="154" t="s">
        <v>245</v>
      </c>
      <c r="AK26" s="155"/>
      <c r="AL26" s="154" t="s">
        <v>12</v>
      </c>
      <c r="AM26" s="155"/>
      <c r="AN26" s="154" t="s">
        <v>237</v>
      </c>
      <c r="AO26" s="155"/>
      <c r="AP26" s="154" t="s">
        <v>238</v>
      </c>
      <c r="AQ26" s="155"/>
      <c r="AR26" s="154" t="s">
        <v>241</v>
      </c>
      <c r="AS26" s="155"/>
      <c r="AT26" s="154" t="s">
        <v>13</v>
      </c>
      <c r="AU26" s="155"/>
      <c r="AV26" s="154" t="s">
        <v>14</v>
      </c>
      <c r="AW26" s="155"/>
      <c r="AX26" s="154" t="s">
        <v>15</v>
      </c>
      <c r="AY26" s="155"/>
      <c r="AZ26" s="154" t="s">
        <v>16</v>
      </c>
      <c r="BA26" s="155"/>
      <c r="BB26" s="154" t="s">
        <v>17</v>
      </c>
      <c r="BC26" s="155"/>
      <c r="BD26" s="154" t="s">
        <v>239</v>
      </c>
      <c r="BE26" s="155"/>
      <c r="BF26" s="154" t="s">
        <v>240</v>
      </c>
      <c r="BG26" s="155"/>
      <c r="BH26" s="154" t="s">
        <v>18</v>
      </c>
      <c r="BI26" s="155"/>
      <c r="BJ26" s="154" t="s">
        <v>19</v>
      </c>
      <c r="BK26" s="155"/>
      <c r="BL26" s="156" t="s">
        <v>20</v>
      </c>
      <c r="BM26" s="157"/>
    </row>
    <row r="27" spans="1:65" ht="30" x14ac:dyDescent="0.25">
      <c r="A27" s="1"/>
      <c r="B27" s="53" t="s">
        <v>300</v>
      </c>
      <c r="C27" s="54" t="s">
        <v>301</v>
      </c>
      <c r="D27" s="53" t="s">
        <v>300</v>
      </c>
      <c r="E27" s="54" t="s">
        <v>301</v>
      </c>
      <c r="F27" s="53" t="s">
        <v>300</v>
      </c>
      <c r="G27" s="54" t="s">
        <v>301</v>
      </c>
      <c r="H27" s="53" t="s">
        <v>300</v>
      </c>
      <c r="I27" s="54" t="s">
        <v>301</v>
      </c>
      <c r="J27" s="53" t="s">
        <v>300</v>
      </c>
      <c r="K27" s="54" t="s">
        <v>301</v>
      </c>
      <c r="L27" s="53" t="s">
        <v>300</v>
      </c>
      <c r="M27" s="54" t="s">
        <v>301</v>
      </c>
      <c r="N27" s="53" t="s">
        <v>300</v>
      </c>
      <c r="O27" s="54" t="s">
        <v>301</v>
      </c>
      <c r="P27" s="53" t="s">
        <v>300</v>
      </c>
      <c r="Q27" s="54" t="s">
        <v>301</v>
      </c>
      <c r="R27" s="53" t="s">
        <v>300</v>
      </c>
      <c r="S27" s="54" t="s">
        <v>301</v>
      </c>
      <c r="T27" s="53" t="s">
        <v>300</v>
      </c>
      <c r="U27" s="54" t="s">
        <v>301</v>
      </c>
      <c r="V27" s="53" t="s">
        <v>300</v>
      </c>
      <c r="W27" s="54" t="s">
        <v>301</v>
      </c>
      <c r="X27" s="53" t="s">
        <v>300</v>
      </c>
      <c r="Y27" s="54" t="s">
        <v>301</v>
      </c>
      <c r="Z27" s="53" t="s">
        <v>300</v>
      </c>
      <c r="AA27" s="54" t="s">
        <v>301</v>
      </c>
      <c r="AB27" s="53" t="s">
        <v>300</v>
      </c>
      <c r="AC27" s="54" t="s">
        <v>301</v>
      </c>
      <c r="AD27" s="53" t="s">
        <v>300</v>
      </c>
      <c r="AE27" s="54" t="s">
        <v>301</v>
      </c>
      <c r="AF27" s="53" t="s">
        <v>300</v>
      </c>
      <c r="AG27" s="54" t="s">
        <v>301</v>
      </c>
      <c r="AH27" s="53" t="s">
        <v>300</v>
      </c>
      <c r="AI27" s="54" t="s">
        <v>301</v>
      </c>
      <c r="AJ27" s="53" t="s">
        <v>300</v>
      </c>
      <c r="AK27" s="54" t="s">
        <v>301</v>
      </c>
      <c r="AL27" s="53" t="s">
        <v>300</v>
      </c>
      <c r="AM27" s="54" t="s">
        <v>301</v>
      </c>
      <c r="AN27" s="53" t="s">
        <v>300</v>
      </c>
      <c r="AO27" s="54" t="s">
        <v>301</v>
      </c>
      <c r="AP27" s="53" t="s">
        <v>300</v>
      </c>
      <c r="AQ27" s="54" t="s">
        <v>301</v>
      </c>
      <c r="AR27" s="53" t="s">
        <v>300</v>
      </c>
      <c r="AS27" s="54" t="s">
        <v>301</v>
      </c>
      <c r="AT27" s="53" t="s">
        <v>300</v>
      </c>
      <c r="AU27" s="54" t="s">
        <v>301</v>
      </c>
      <c r="AV27" s="53" t="s">
        <v>300</v>
      </c>
      <c r="AW27" s="54" t="s">
        <v>301</v>
      </c>
      <c r="AX27" s="53" t="s">
        <v>300</v>
      </c>
      <c r="AY27" s="54" t="s">
        <v>301</v>
      </c>
      <c r="AZ27" s="53" t="s">
        <v>300</v>
      </c>
      <c r="BA27" s="54" t="s">
        <v>301</v>
      </c>
      <c r="BB27" s="53" t="s">
        <v>300</v>
      </c>
      <c r="BC27" s="54" t="s">
        <v>301</v>
      </c>
      <c r="BD27" s="53" t="s">
        <v>300</v>
      </c>
      <c r="BE27" s="54" t="s">
        <v>301</v>
      </c>
      <c r="BF27" s="53" t="s">
        <v>300</v>
      </c>
      <c r="BG27" s="54" t="s">
        <v>301</v>
      </c>
      <c r="BH27" s="53" t="s">
        <v>300</v>
      </c>
      <c r="BI27" s="54" t="s">
        <v>301</v>
      </c>
      <c r="BJ27" s="53" t="s">
        <v>300</v>
      </c>
      <c r="BK27" s="54" t="s">
        <v>301</v>
      </c>
      <c r="BL27" s="104" t="s">
        <v>300</v>
      </c>
      <c r="BM27" s="105" t="s">
        <v>301</v>
      </c>
    </row>
    <row r="28" spans="1:65" x14ac:dyDescent="0.25">
      <c r="A28" s="91" t="s">
        <v>274</v>
      </c>
      <c r="B28" s="91">
        <v>14895</v>
      </c>
      <c r="C28" s="91">
        <v>51075</v>
      </c>
      <c r="D28" s="76"/>
      <c r="E28" s="76"/>
      <c r="F28" s="76"/>
      <c r="G28" s="76"/>
      <c r="H28" s="91">
        <v>136974</v>
      </c>
      <c r="I28" s="91">
        <v>484452</v>
      </c>
      <c r="J28" s="76"/>
      <c r="K28" s="76"/>
      <c r="L28" s="91">
        <v>93903</v>
      </c>
      <c r="M28" s="91">
        <v>312488</v>
      </c>
      <c r="N28" s="76"/>
      <c r="O28" s="76"/>
      <c r="P28" s="90">
        <v>5921.66</v>
      </c>
      <c r="Q28" s="90">
        <v>19747.82</v>
      </c>
      <c r="R28" s="91">
        <v>49278.42</v>
      </c>
      <c r="S28" s="91">
        <v>161700.17000000001</v>
      </c>
      <c r="T28" s="91">
        <v>100637</v>
      </c>
      <c r="U28" s="91">
        <v>300877</v>
      </c>
      <c r="V28" s="91">
        <v>98145</v>
      </c>
      <c r="W28" s="91">
        <v>354900</v>
      </c>
      <c r="X28" s="91">
        <v>246523</v>
      </c>
      <c r="Y28" s="91">
        <v>828009</v>
      </c>
      <c r="Z28" s="91">
        <v>101273</v>
      </c>
      <c r="AA28" s="91">
        <v>370264</v>
      </c>
      <c r="AB28" s="91">
        <v>12869</v>
      </c>
      <c r="AC28" s="91">
        <v>38803</v>
      </c>
      <c r="AD28" s="91">
        <v>29156</v>
      </c>
      <c r="AE28" s="91">
        <v>29156</v>
      </c>
      <c r="AF28" s="91">
        <v>41523</v>
      </c>
      <c r="AG28" s="91">
        <v>131602</v>
      </c>
      <c r="AH28" s="76"/>
      <c r="AI28" s="76"/>
      <c r="AJ28" s="76"/>
      <c r="AK28" s="76"/>
      <c r="AL28" s="91">
        <v>123191.91</v>
      </c>
      <c r="AM28" s="91">
        <v>465183.29</v>
      </c>
      <c r="AN28" s="91">
        <v>1002</v>
      </c>
      <c r="AO28" s="91">
        <v>4300</v>
      </c>
      <c r="AP28" s="91">
        <v>7833</v>
      </c>
      <c r="AQ28" s="91">
        <v>27736</v>
      </c>
      <c r="AR28" s="76">
        <v>119765</v>
      </c>
      <c r="AS28" s="76">
        <v>384450</v>
      </c>
      <c r="AT28" s="91">
        <v>60743</v>
      </c>
      <c r="AU28" s="91">
        <v>202596</v>
      </c>
      <c r="AV28" s="91">
        <v>80488</v>
      </c>
      <c r="AW28" s="91">
        <v>251707</v>
      </c>
      <c r="AX28" s="91">
        <v>45241</v>
      </c>
      <c r="AY28" s="91">
        <v>163115</v>
      </c>
      <c r="AZ28" s="76"/>
      <c r="BA28" s="76"/>
      <c r="BB28" s="91">
        <v>158282</v>
      </c>
      <c r="BC28" s="91">
        <v>513161</v>
      </c>
      <c r="BD28" s="91">
        <v>282931</v>
      </c>
      <c r="BE28" s="91">
        <v>963725</v>
      </c>
      <c r="BF28" s="91">
        <v>100186</v>
      </c>
      <c r="BG28" s="91">
        <v>350582</v>
      </c>
      <c r="BH28" s="91">
        <v>153397</v>
      </c>
      <c r="BI28" s="91">
        <v>547676</v>
      </c>
      <c r="BJ28" s="91">
        <v>47677</v>
      </c>
      <c r="BK28" s="91">
        <v>135746</v>
      </c>
      <c r="BL28" s="68">
        <f t="shared" ref="BL28:BL34" si="4">SUM(B28+D28+F28+H28+J28+L28+N28+P28+R28+T28+V28+X28+Z28+AB28+AD28+AF28+AH28+AJ28+AL28+AN28+AP28+AR28+AT28+AV28+AX28+AZ28+BB28+BD28+BF28+BH28+BJ28)</f>
        <v>2111834.9900000002</v>
      </c>
      <c r="BM28" s="68">
        <f t="shared" ref="BM28:BM34" si="5">SUM(C28+E28+G28+I28+K28+M28+O28+Q28+S28+U28+W28+Y28+AA28+AC28+AE28+AG28+AI28+AK28+AM28+AO28+AQ28+AS28+AU28+AW28+AY28+BA28+BC28+BE28+BG28+BI28+BK28)</f>
        <v>7093051.2800000003</v>
      </c>
    </row>
    <row r="29" spans="1:65" x14ac:dyDescent="0.25">
      <c r="A29" s="91" t="s">
        <v>275</v>
      </c>
      <c r="B29" s="91"/>
      <c r="C29" s="91"/>
      <c r="D29" s="76"/>
      <c r="E29" s="76"/>
      <c r="F29" s="76"/>
      <c r="G29" s="76"/>
      <c r="H29" s="91"/>
      <c r="I29" s="91"/>
      <c r="J29" s="76"/>
      <c r="K29" s="76"/>
      <c r="L29" s="91"/>
      <c r="M29" s="91"/>
      <c r="N29" s="76"/>
      <c r="O29" s="76"/>
      <c r="P29" s="90"/>
      <c r="Q29" s="90"/>
      <c r="R29" s="91"/>
      <c r="S29" s="91"/>
      <c r="T29" s="91">
        <v>4812</v>
      </c>
      <c r="U29" s="91">
        <v>26699</v>
      </c>
      <c r="V29" s="91"/>
      <c r="W29" s="91"/>
      <c r="X29" s="91">
        <v>8639</v>
      </c>
      <c r="Y29" s="91">
        <v>8305</v>
      </c>
      <c r="Z29" s="91"/>
      <c r="AA29" s="91"/>
      <c r="AB29" s="91"/>
      <c r="AC29" s="91"/>
      <c r="AD29" s="91"/>
      <c r="AE29" s="91"/>
      <c r="AF29" s="91"/>
      <c r="AG29" s="91"/>
      <c r="AH29" s="76"/>
      <c r="AI29" s="76"/>
      <c r="AJ29" s="76"/>
      <c r="AK29" s="76"/>
      <c r="AL29" s="91">
        <v>131.63</v>
      </c>
      <c r="AM29" s="91">
        <v>207.6</v>
      </c>
      <c r="AN29" s="91"/>
      <c r="AO29" s="91"/>
      <c r="AP29" s="91"/>
      <c r="AQ29" s="91"/>
      <c r="AR29" s="76"/>
      <c r="AS29" s="76"/>
      <c r="AT29" s="91"/>
      <c r="AU29" s="91"/>
      <c r="AV29" s="91"/>
      <c r="AW29" s="91"/>
      <c r="AX29" s="91"/>
      <c r="AY29" s="91"/>
      <c r="AZ29" s="76"/>
      <c r="BA29" s="76"/>
      <c r="BB29" s="91">
        <v>12040</v>
      </c>
      <c r="BC29" s="91">
        <v>26925</v>
      </c>
      <c r="BD29" s="91">
        <v>207</v>
      </c>
      <c r="BE29" s="91">
        <v>815</v>
      </c>
      <c r="BF29" s="91">
        <v>44</v>
      </c>
      <c r="BG29" s="91">
        <v>228</v>
      </c>
      <c r="BH29" s="91"/>
      <c r="BI29" s="91"/>
      <c r="BJ29" s="91"/>
      <c r="BK29" s="91"/>
      <c r="BL29" s="68">
        <f t="shared" si="4"/>
        <v>25873.629999999997</v>
      </c>
      <c r="BM29" s="68">
        <f t="shared" si="5"/>
        <v>63179.6</v>
      </c>
    </row>
    <row r="30" spans="1:65" x14ac:dyDescent="0.25">
      <c r="A30" s="91" t="s">
        <v>276</v>
      </c>
      <c r="B30" s="91">
        <v>9688</v>
      </c>
      <c r="C30" s="91">
        <v>33345</v>
      </c>
      <c r="D30" s="76"/>
      <c r="E30" s="76"/>
      <c r="F30" s="76"/>
      <c r="G30" s="76"/>
      <c r="H30" s="91">
        <v>-16908</v>
      </c>
      <c r="I30" s="91">
        <v>-51332</v>
      </c>
      <c r="J30" s="76"/>
      <c r="K30" s="76"/>
      <c r="L30" s="91">
        <v>16526</v>
      </c>
      <c r="M30" s="91">
        <v>54027</v>
      </c>
      <c r="N30" s="76"/>
      <c r="O30" s="76"/>
      <c r="P30" s="90">
        <v>2874.25</v>
      </c>
      <c r="Q30" s="90">
        <v>6258.63</v>
      </c>
      <c r="R30" s="91">
        <v>2779.43</v>
      </c>
      <c r="S30" s="91">
        <v>9574.43</v>
      </c>
      <c r="T30" s="91">
        <v>6351</v>
      </c>
      <c r="U30" s="91">
        <v>18549</v>
      </c>
      <c r="V30" s="91">
        <v>-27675</v>
      </c>
      <c r="W30" s="91">
        <v>-98701</v>
      </c>
      <c r="X30" s="91">
        <v>12712</v>
      </c>
      <c r="Y30" s="91">
        <v>45934</v>
      </c>
      <c r="Z30" s="91">
        <v>9321</v>
      </c>
      <c r="AA30" s="91">
        <v>35874</v>
      </c>
      <c r="AB30" s="91">
        <v>2334</v>
      </c>
      <c r="AC30" s="91">
        <v>6951</v>
      </c>
      <c r="AD30" s="91">
        <v>1453</v>
      </c>
      <c r="AE30" s="91">
        <v>1453</v>
      </c>
      <c r="AF30" s="91">
        <v>-11559</v>
      </c>
      <c r="AG30" s="91">
        <v>-36081</v>
      </c>
      <c r="AH30" s="76"/>
      <c r="AI30" s="76"/>
      <c r="AJ30" s="76"/>
      <c r="AK30" s="76"/>
      <c r="AL30" s="91">
        <v>7718.14</v>
      </c>
      <c r="AM30" s="91">
        <v>29591.39</v>
      </c>
      <c r="AN30" s="91">
        <v>-77</v>
      </c>
      <c r="AO30" s="91">
        <v>-329</v>
      </c>
      <c r="AP30" s="91">
        <v>551</v>
      </c>
      <c r="AQ30" s="91">
        <v>1966</v>
      </c>
      <c r="AR30" s="76">
        <v>25052</v>
      </c>
      <c r="AS30" s="76">
        <v>86197</v>
      </c>
      <c r="AT30" s="91">
        <v>8448</v>
      </c>
      <c r="AU30" s="91">
        <v>30780</v>
      </c>
      <c r="AV30" s="91">
        <v>24737</v>
      </c>
      <c r="AW30" s="91">
        <v>91216</v>
      </c>
      <c r="AX30" s="91">
        <v>2634</v>
      </c>
      <c r="AY30" s="91">
        <v>9319</v>
      </c>
      <c r="AZ30" s="76"/>
      <c r="BA30" s="76"/>
      <c r="BB30" s="91">
        <v>21717</v>
      </c>
      <c r="BC30" s="91">
        <v>72713</v>
      </c>
      <c r="BD30" s="91">
        <v>16923</v>
      </c>
      <c r="BE30" s="91">
        <v>57639</v>
      </c>
      <c r="BF30" s="91">
        <v>4936</v>
      </c>
      <c r="BG30" s="91">
        <v>18357</v>
      </c>
      <c r="BH30" s="91">
        <v>7865</v>
      </c>
      <c r="BI30" s="91">
        <v>27887</v>
      </c>
      <c r="BJ30" s="91">
        <v>14021</v>
      </c>
      <c r="BK30" s="91">
        <v>43263</v>
      </c>
      <c r="BL30" s="68">
        <f t="shared" si="4"/>
        <v>142421.82</v>
      </c>
      <c r="BM30" s="68">
        <f t="shared" si="5"/>
        <v>494451.45</v>
      </c>
    </row>
    <row r="31" spans="1:65" s="7" customFormat="1" x14ac:dyDescent="0.25">
      <c r="A31" s="10" t="s">
        <v>277</v>
      </c>
      <c r="B31" s="10">
        <v>5207</v>
      </c>
      <c r="C31" s="10">
        <v>17730</v>
      </c>
      <c r="D31" s="10"/>
      <c r="E31" s="10"/>
      <c r="F31" s="10"/>
      <c r="G31" s="10"/>
      <c r="H31" s="10">
        <v>120066</v>
      </c>
      <c r="I31" s="10">
        <v>433119</v>
      </c>
      <c r="J31" s="10"/>
      <c r="K31" s="10"/>
      <c r="L31" s="10">
        <v>77377</v>
      </c>
      <c r="M31" s="10">
        <v>258461</v>
      </c>
      <c r="N31" s="10"/>
      <c r="O31" s="10"/>
      <c r="P31" s="127">
        <v>3047.41</v>
      </c>
      <c r="Q31" s="127">
        <v>13489.19</v>
      </c>
      <c r="R31" s="10">
        <v>46498.99</v>
      </c>
      <c r="S31" s="10">
        <v>152125.74</v>
      </c>
      <c r="T31" s="10">
        <v>99098</v>
      </c>
      <c r="U31" s="10">
        <v>309027</v>
      </c>
      <c r="V31" s="10">
        <v>70470</v>
      </c>
      <c r="W31" s="10">
        <v>256199</v>
      </c>
      <c r="X31" s="10">
        <v>242450</v>
      </c>
      <c r="Y31" s="10">
        <v>790380</v>
      </c>
      <c r="Z31" s="10">
        <v>91952</v>
      </c>
      <c r="AA31" s="10">
        <v>334390</v>
      </c>
      <c r="AB31" s="10">
        <v>10535</v>
      </c>
      <c r="AC31" s="10">
        <v>31852</v>
      </c>
      <c r="AD31" s="10">
        <v>27703</v>
      </c>
      <c r="AE31" s="10">
        <v>27703</v>
      </c>
      <c r="AF31" s="10">
        <v>29963</v>
      </c>
      <c r="AG31" s="10">
        <v>95520</v>
      </c>
      <c r="AH31" s="10"/>
      <c r="AI31" s="10"/>
      <c r="AJ31" s="10"/>
      <c r="AK31" s="10"/>
      <c r="AL31" s="10">
        <v>115605.4</v>
      </c>
      <c r="AM31" s="10">
        <v>435799.5</v>
      </c>
      <c r="AN31" s="10">
        <v>925</v>
      </c>
      <c r="AO31" s="10">
        <v>3971</v>
      </c>
      <c r="AP31" s="10">
        <v>7282</v>
      </c>
      <c r="AQ31" s="10">
        <v>25770</v>
      </c>
      <c r="AR31" s="10">
        <v>94713</v>
      </c>
      <c r="AS31" s="10">
        <v>298253</v>
      </c>
      <c r="AT31" s="10">
        <v>52295</v>
      </c>
      <c r="AU31" s="10">
        <v>171816</v>
      </c>
      <c r="AV31" s="10">
        <v>55751</v>
      </c>
      <c r="AW31" s="10">
        <v>160491</v>
      </c>
      <c r="AX31" s="10">
        <v>42607</v>
      </c>
      <c r="AY31" s="10">
        <v>153796</v>
      </c>
      <c r="AZ31" s="10"/>
      <c r="BA31" s="10"/>
      <c r="BB31" s="10">
        <v>148605</v>
      </c>
      <c r="BC31" s="10">
        <v>467373</v>
      </c>
      <c r="BD31" s="10">
        <v>266215</v>
      </c>
      <c r="BE31" s="10">
        <v>906901</v>
      </c>
      <c r="BF31" s="10">
        <v>95294</v>
      </c>
      <c r="BG31" s="10">
        <v>332454</v>
      </c>
      <c r="BH31" s="10">
        <v>145532</v>
      </c>
      <c r="BI31" s="10">
        <v>519789</v>
      </c>
      <c r="BJ31" s="10">
        <v>33656</v>
      </c>
      <c r="BK31" s="10">
        <v>92483</v>
      </c>
      <c r="BL31" s="63">
        <f t="shared" si="4"/>
        <v>1882847.8</v>
      </c>
      <c r="BM31" s="63">
        <f t="shared" si="5"/>
        <v>6288892.4299999997</v>
      </c>
    </row>
    <row r="32" spans="1:65" x14ac:dyDescent="0.25">
      <c r="A32" s="91" t="s">
        <v>278</v>
      </c>
      <c r="B32" s="91">
        <v>9389</v>
      </c>
      <c r="C32" s="91">
        <v>6030</v>
      </c>
      <c r="D32" s="91"/>
      <c r="E32" s="91"/>
      <c r="F32" s="91"/>
      <c r="G32" s="91"/>
      <c r="H32" s="91">
        <v>231299</v>
      </c>
      <c r="I32" s="91">
        <v>253263</v>
      </c>
      <c r="J32" s="91"/>
      <c r="K32" s="91"/>
      <c r="L32" s="91">
        <v>130242</v>
      </c>
      <c r="M32" s="91">
        <v>137003</v>
      </c>
      <c r="N32" s="91"/>
      <c r="O32" s="91"/>
      <c r="P32" s="90">
        <v>7300.95</v>
      </c>
      <c r="Q32" s="90">
        <v>6199.45</v>
      </c>
      <c r="R32" s="91">
        <v>73755.67</v>
      </c>
      <c r="S32" s="91">
        <v>71571.08</v>
      </c>
      <c r="T32" s="91">
        <v>154225</v>
      </c>
      <c r="U32" s="91">
        <v>141098</v>
      </c>
      <c r="V32" s="91">
        <v>133842</v>
      </c>
      <c r="W32" s="91">
        <v>140913</v>
      </c>
      <c r="X32" s="91">
        <v>397004</v>
      </c>
      <c r="Y32" s="91">
        <v>368357</v>
      </c>
      <c r="Z32" s="91"/>
      <c r="AA32" s="91">
        <v>183121</v>
      </c>
      <c r="AB32" s="91">
        <v>16423</v>
      </c>
      <c r="AC32" s="91">
        <v>15773</v>
      </c>
      <c r="AD32" s="91">
        <v>48722</v>
      </c>
      <c r="AE32" s="91">
        <v>48722</v>
      </c>
      <c r="AF32" s="91">
        <v>46792</v>
      </c>
      <c r="AG32" s="91">
        <v>38308</v>
      </c>
      <c r="AH32" s="91"/>
      <c r="AI32" s="91"/>
      <c r="AJ32" s="91"/>
      <c r="AK32" s="91"/>
      <c r="AL32" s="91">
        <v>222329.52</v>
      </c>
      <c r="AM32" s="91">
        <v>227539.6</v>
      </c>
      <c r="AN32" s="91">
        <v>2253</v>
      </c>
      <c r="AO32" s="91">
        <v>2012</v>
      </c>
      <c r="AP32" s="91">
        <v>12251</v>
      </c>
      <c r="AQ32" s="91">
        <v>10117</v>
      </c>
      <c r="AR32" s="91">
        <v>145763</v>
      </c>
      <c r="AS32" s="91">
        <v>143518</v>
      </c>
      <c r="AT32" s="91">
        <v>85475</v>
      </c>
      <c r="AU32" s="91">
        <v>95209</v>
      </c>
      <c r="AV32" s="91">
        <v>80064</v>
      </c>
      <c r="AW32" s="91">
        <v>72085</v>
      </c>
      <c r="AX32" s="91"/>
      <c r="AY32" s="91">
        <v>103684</v>
      </c>
      <c r="AZ32" s="91"/>
      <c r="BA32" s="91"/>
      <c r="BB32" s="91">
        <v>230612</v>
      </c>
      <c r="BC32" s="91">
        <v>226561</v>
      </c>
      <c r="BD32" s="91">
        <v>458161</v>
      </c>
      <c r="BE32" s="91">
        <v>537089</v>
      </c>
      <c r="BF32" s="91">
        <v>0</v>
      </c>
      <c r="BG32" s="91">
        <v>0</v>
      </c>
      <c r="BH32" s="91">
        <v>264039</v>
      </c>
      <c r="BI32" s="91">
        <v>275462</v>
      </c>
      <c r="BJ32" s="91">
        <v>53718</v>
      </c>
      <c r="BK32" s="91">
        <v>38022</v>
      </c>
      <c r="BL32" s="68">
        <f t="shared" si="4"/>
        <v>2803660.14</v>
      </c>
      <c r="BM32" s="68">
        <f t="shared" si="5"/>
        <v>3141657.13</v>
      </c>
    </row>
    <row r="33" spans="1:65" x14ac:dyDescent="0.25">
      <c r="A33" s="2" t="s">
        <v>279</v>
      </c>
      <c r="B33" s="91">
        <v>10358</v>
      </c>
      <c r="C33" s="91">
        <v>10358</v>
      </c>
      <c r="D33" s="91"/>
      <c r="E33" s="91"/>
      <c r="F33" s="91"/>
      <c r="G33" s="91"/>
      <c r="H33" s="91">
        <v>243785</v>
      </c>
      <c r="I33" s="91">
        <v>243785</v>
      </c>
      <c r="J33" s="91"/>
      <c r="K33" s="91"/>
      <c r="L33" s="91">
        <v>143848</v>
      </c>
      <c r="M33" s="91">
        <v>143848</v>
      </c>
      <c r="N33" s="91"/>
      <c r="O33" s="91"/>
      <c r="P33" s="90">
        <v>6878.95</v>
      </c>
      <c r="Q33" s="90">
        <v>6878.95</v>
      </c>
      <c r="R33" s="91">
        <v>83714.81</v>
      </c>
      <c r="S33" s="91">
        <v>83714.81</v>
      </c>
      <c r="T33" s="91">
        <v>179236</v>
      </c>
      <c r="U33" s="91">
        <v>179236</v>
      </c>
      <c r="V33" s="91">
        <v>-141270</v>
      </c>
      <c r="W33" s="91">
        <v>-141270</v>
      </c>
      <c r="X33" s="91">
        <v>446538</v>
      </c>
      <c r="Y33" s="91">
        <v>446538</v>
      </c>
      <c r="Z33" s="91">
        <v>8489</v>
      </c>
      <c r="AA33" s="91">
        <v>187746</v>
      </c>
      <c r="AB33" s="91">
        <v>19312</v>
      </c>
      <c r="AC33" s="91">
        <v>19312</v>
      </c>
      <c r="AD33" s="91">
        <v>53341</v>
      </c>
      <c r="AE33" s="91">
        <v>53341</v>
      </c>
      <c r="AF33" s="91">
        <v>-54428</v>
      </c>
      <c r="AG33" s="91">
        <v>-54428</v>
      </c>
      <c r="AH33" s="91"/>
      <c r="AI33" s="91"/>
      <c r="AJ33" s="91"/>
      <c r="AK33" s="91"/>
      <c r="AL33" s="91">
        <v>217166.04</v>
      </c>
      <c r="AM33" s="91">
        <v>217166.04</v>
      </c>
      <c r="AN33" s="91">
        <v>-2220</v>
      </c>
      <c r="AO33" s="91">
        <v>-2220</v>
      </c>
      <c r="AP33" s="91">
        <v>13223</v>
      </c>
      <c r="AQ33" s="91">
        <v>13223</v>
      </c>
      <c r="AR33" s="91">
        <v>167118</v>
      </c>
      <c r="AS33" s="91">
        <v>167118</v>
      </c>
      <c r="AT33" s="91">
        <v>95900</v>
      </c>
      <c r="AU33" s="91">
        <v>95900</v>
      </c>
      <c r="AV33" s="91">
        <v>98013</v>
      </c>
      <c r="AW33" s="91">
        <v>98013</v>
      </c>
      <c r="AX33" s="91">
        <v>3038</v>
      </c>
      <c r="AY33" s="91">
        <v>84108</v>
      </c>
      <c r="AZ33" s="91"/>
      <c r="BA33" s="91"/>
      <c r="BB33" s="91">
        <v>267373</v>
      </c>
      <c r="BC33" s="91">
        <v>267373</v>
      </c>
      <c r="BD33" s="91">
        <v>499446</v>
      </c>
      <c r="BE33" s="91">
        <v>499446</v>
      </c>
      <c r="BF33" s="91">
        <v>-4870</v>
      </c>
      <c r="BG33" s="91">
        <v>-15847</v>
      </c>
      <c r="BH33" s="91">
        <v>259894</v>
      </c>
      <c r="BI33" s="91">
        <v>259894</v>
      </c>
      <c r="BJ33" s="91">
        <v>-62742</v>
      </c>
      <c r="BK33" s="91">
        <v>-62742</v>
      </c>
      <c r="BL33" s="68">
        <f t="shared" si="4"/>
        <v>2551141.7999999998</v>
      </c>
      <c r="BM33" s="68">
        <f t="shared" si="5"/>
        <v>2800491.8</v>
      </c>
    </row>
    <row r="34" spans="1:65" s="7" customFormat="1" x14ac:dyDescent="0.25">
      <c r="A34" s="10" t="s">
        <v>192</v>
      </c>
      <c r="B34" s="10">
        <v>4238</v>
      </c>
      <c r="C34" s="10">
        <v>13402</v>
      </c>
      <c r="D34" s="10"/>
      <c r="E34" s="10"/>
      <c r="F34" s="10"/>
      <c r="G34" s="10"/>
      <c r="H34" s="10">
        <v>107580</v>
      </c>
      <c r="I34" s="10">
        <v>442597</v>
      </c>
      <c r="J34" s="10"/>
      <c r="K34" s="10"/>
      <c r="L34" s="10">
        <v>63771</v>
      </c>
      <c r="M34" s="10">
        <v>251616</v>
      </c>
      <c r="N34" s="10"/>
      <c r="O34" s="10"/>
      <c r="P34" s="127">
        <v>3469.41</v>
      </c>
      <c r="Q34" s="127">
        <v>12809.69</v>
      </c>
      <c r="R34" s="10">
        <v>36539.839999999997</v>
      </c>
      <c r="S34" s="10">
        <v>139982.01</v>
      </c>
      <c r="T34" s="10">
        <v>74087</v>
      </c>
      <c r="U34" s="10">
        <v>270889</v>
      </c>
      <c r="V34" s="10">
        <v>63042</v>
      </c>
      <c r="W34" s="10">
        <v>255842</v>
      </c>
      <c r="X34" s="10">
        <v>192916</v>
      </c>
      <c r="Y34" s="10">
        <v>785312</v>
      </c>
      <c r="Z34" s="10">
        <v>83463</v>
      </c>
      <c r="AA34" s="10">
        <v>329765</v>
      </c>
      <c r="AB34" s="10">
        <v>7646</v>
      </c>
      <c r="AC34" s="10">
        <v>28312</v>
      </c>
      <c r="AD34" s="10">
        <v>23084</v>
      </c>
      <c r="AE34" s="10">
        <v>23084</v>
      </c>
      <c r="AF34" s="10">
        <v>22327</v>
      </c>
      <c r="AG34" s="10">
        <v>79400</v>
      </c>
      <c r="AH34" s="10"/>
      <c r="AI34" s="10"/>
      <c r="AJ34" s="10"/>
      <c r="AK34" s="10"/>
      <c r="AL34" s="10">
        <v>120768.88</v>
      </c>
      <c r="AM34" s="10">
        <v>446173.06</v>
      </c>
      <c r="AN34" s="10">
        <v>958</v>
      </c>
      <c r="AO34" s="10">
        <v>3762</v>
      </c>
      <c r="AP34" s="10">
        <v>6310</v>
      </c>
      <c r="AQ34" s="10">
        <v>22664</v>
      </c>
      <c r="AR34" s="10">
        <v>73358</v>
      </c>
      <c r="AS34" s="10">
        <v>274653</v>
      </c>
      <c r="AT34" s="10">
        <v>41869</v>
      </c>
      <c r="AU34" s="10">
        <v>171124</v>
      </c>
      <c r="AV34" s="10">
        <v>37801</v>
      </c>
      <c r="AW34" s="10">
        <v>134562</v>
      </c>
      <c r="AX34" s="10">
        <v>39569</v>
      </c>
      <c r="AY34" s="10">
        <v>173372</v>
      </c>
      <c r="AZ34" s="10"/>
      <c r="BA34" s="10"/>
      <c r="BB34" s="10">
        <v>111844</v>
      </c>
      <c r="BC34" s="10">
        <v>426561</v>
      </c>
      <c r="BD34" s="10">
        <v>224930</v>
      </c>
      <c r="BE34" s="10">
        <v>944543</v>
      </c>
      <c r="BF34" s="10">
        <v>100164</v>
      </c>
      <c r="BG34" s="10">
        <v>348300</v>
      </c>
      <c r="BH34" s="10">
        <v>149676</v>
      </c>
      <c r="BI34" s="10">
        <v>535357</v>
      </c>
      <c r="BJ34" s="10">
        <v>24632</v>
      </c>
      <c r="BK34" s="10">
        <v>67762</v>
      </c>
      <c r="BL34" s="63">
        <f t="shared" si="4"/>
        <v>1614043.13</v>
      </c>
      <c r="BM34" s="63">
        <f t="shared" si="5"/>
        <v>6181843.7599999998</v>
      </c>
    </row>
    <row r="36" spans="1:65" x14ac:dyDescent="0.25">
      <c r="A36" s="23" t="s">
        <v>185</v>
      </c>
    </row>
    <row r="37" spans="1:65" x14ac:dyDescent="0.25">
      <c r="A37" s="1" t="s">
        <v>0</v>
      </c>
      <c r="B37" s="154" t="s">
        <v>1</v>
      </c>
      <c r="C37" s="155"/>
      <c r="D37" s="154" t="s">
        <v>234</v>
      </c>
      <c r="E37" s="155"/>
      <c r="F37" s="154" t="s">
        <v>2</v>
      </c>
      <c r="G37" s="155"/>
      <c r="H37" s="154" t="s">
        <v>3</v>
      </c>
      <c r="I37" s="155"/>
      <c r="J37" s="154" t="s">
        <v>243</v>
      </c>
      <c r="K37" s="155"/>
      <c r="L37" s="154" t="s">
        <v>235</v>
      </c>
      <c r="M37" s="155"/>
      <c r="N37" s="154" t="s">
        <v>5</v>
      </c>
      <c r="O37" s="155"/>
      <c r="P37" s="154" t="s">
        <v>4</v>
      </c>
      <c r="Q37" s="155"/>
      <c r="R37" s="154" t="s">
        <v>6</v>
      </c>
      <c r="S37" s="155"/>
      <c r="T37" s="154" t="s">
        <v>246</v>
      </c>
      <c r="U37" s="155"/>
      <c r="V37" s="154" t="s">
        <v>7</v>
      </c>
      <c r="W37" s="155"/>
      <c r="X37" s="154" t="s">
        <v>8</v>
      </c>
      <c r="Y37" s="155"/>
      <c r="Z37" s="154" t="s">
        <v>9</v>
      </c>
      <c r="AA37" s="155"/>
      <c r="AB37" s="154" t="s">
        <v>242</v>
      </c>
      <c r="AC37" s="155"/>
      <c r="AD37" s="154" t="s">
        <v>10</v>
      </c>
      <c r="AE37" s="155"/>
      <c r="AF37" s="154" t="s">
        <v>11</v>
      </c>
      <c r="AG37" s="155"/>
      <c r="AH37" s="154" t="s">
        <v>236</v>
      </c>
      <c r="AI37" s="155"/>
      <c r="AJ37" s="154" t="s">
        <v>245</v>
      </c>
      <c r="AK37" s="155"/>
      <c r="AL37" s="154" t="s">
        <v>12</v>
      </c>
      <c r="AM37" s="155"/>
      <c r="AN37" s="154" t="s">
        <v>237</v>
      </c>
      <c r="AO37" s="155"/>
      <c r="AP37" s="154" t="s">
        <v>238</v>
      </c>
      <c r="AQ37" s="155"/>
      <c r="AR37" s="154" t="s">
        <v>241</v>
      </c>
      <c r="AS37" s="155"/>
      <c r="AT37" s="154" t="s">
        <v>13</v>
      </c>
      <c r="AU37" s="155"/>
      <c r="AV37" s="154" t="s">
        <v>14</v>
      </c>
      <c r="AW37" s="155"/>
      <c r="AX37" s="154" t="s">
        <v>15</v>
      </c>
      <c r="AY37" s="155"/>
      <c r="AZ37" s="154" t="s">
        <v>16</v>
      </c>
      <c r="BA37" s="155"/>
      <c r="BB37" s="154" t="s">
        <v>17</v>
      </c>
      <c r="BC37" s="155"/>
      <c r="BD37" s="154" t="s">
        <v>239</v>
      </c>
      <c r="BE37" s="155"/>
      <c r="BF37" s="154" t="s">
        <v>240</v>
      </c>
      <c r="BG37" s="155"/>
      <c r="BH37" s="154" t="s">
        <v>18</v>
      </c>
      <c r="BI37" s="155"/>
      <c r="BJ37" s="154" t="s">
        <v>19</v>
      </c>
      <c r="BK37" s="155"/>
      <c r="BL37" s="156" t="s">
        <v>20</v>
      </c>
      <c r="BM37" s="157"/>
    </row>
    <row r="38" spans="1:65" ht="30" x14ac:dyDescent="0.25">
      <c r="A38" s="1"/>
      <c r="B38" s="53" t="s">
        <v>300</v>
      </c>
      <c r="C38" s="54" t="s">
        <v>301</v>
      </c>
      <c r="D38" s="53" t="s">
        <v>300</v>
      </c>
      <c r="E38" s="54" t="s">
        <v>301</v>
      </c>
      <c r="F38" s="53" t="s">
        <v>300</v>
      </c>
      <c r="G38" s="54" t="s">
        <v>301</v>
      </c>
      <c r="H38" s="53" t="s">
        <v>300</v>
      </c>
      <c r="I38" s="54" t="s">
        <v>301</v>
      </c>
      <c r="J38" s="53" t="s">
        <v>300</v>
      </c>
      <c r="K38" s="54" t="s">
        <v>301</v>
      </c>
      <c r="L38" s="53" t="s">
        <v>300</v>
      </c>
      <c r="M38" s="54" t="s">
        <v>301</v>
      </c>
      <c r="N38" s="53" t="s">
        <v>300</v>
      </c>
      <c r="O38" s="54" t="s">
        <v>301</v>
      </c>
      <c r="P38" s="53" t="s">
        <v>300</v>
      </c>
      <c r="Q38" s="54" t="s">
        <v>301</v>
      </c>
      <c r="R38" s="53" t="s">
        <v>300</v>
      </c>
      <c r="S38" s="54" t="s">
        <v>301</v>
      </c>
      <c r="T38" s="53" t="s">
        <v>300</v>
      </c>
      <c r="U38" s="54" t="s">
        <v>301</v>
      </c>
      <c r="V38" s="53" t="s">
        <v>300</v>
      </c>
      <c r="W38" s="54" t="s">
        <v>301</v>
      </c>
      <c r="X38" s="53" t="s">
        <v>300</v>
      </c>
      <c r="Y38" s="54" t="s">
        <v>301</v>
      </c>
      <c r="Z38" s="53" t="s">
        <v>300</v>
      </c>
      <c r="AA38" s="54" t="s">
        <v>301</v>
      </c>
      <c r="AB38" s="53" t="s">
        <v>300</v>
      </c>
      <c r="AC38" s="54" t="s">
        <v>301</v>
      </c>
      <c r="AD38" s="53" t="s">
        <v>300</v>
      </c>
      <c r="AE38" s="54" t="s">
        <v>301</v>
      </c>
      <c r="AF38" s="53" t="s">
        <v>300</v>
      </c>
      <c r="AG38" s="54" t="s">
        <v>301</v>
      </c>
      <c r="AH38" s="53" t="s">
        <v>300</v>
      </c>
      <c r="AI38" s="54" t="s">
        <v>301</v>
      </c>
      <c r="AJ38" s="53" t="s">
        <v>300</v>
      </c>
      <c r="AK38" s="54" t="s">
        <v>301</v>
      </c>
      <c r="AL38" s="53" t="s">
        <v>300</v>
      </c>
      <c r="AM38" s="54" t="s">
        <v>301</v>
      </c>
      <c r="AN38" s="53" t="s">
        <v>300</v>
      </c>
      <c r="AO38" s="54" t="s">
        <v>301</v>
      </c>
      <c r="AP38" s="53" t="s">
        <v>300</v>
      </c>
      <c r="AQ38" s="54" t="s">
        <v>301</v>
      </c>
      <c r="AR38" s="53" t="s">
        <v>300</v>
      </c>
      <c r="AS38" s="54" t="s">
        <v>301</v>
      </c>
      <c r="AT38" s="53" t="s">
        <v>300</v>
      </c>
      <c r="AU38" s="54" t="s">
        <v>301</v>
      </c>
      <c r="AV38" s="53" t="s">
        <v>300</v>
      </c>
      <c r="AW38" s="54" t="s">
        <v>301</v>
      </c>
      <c r="AX38" s="53" t="s">
        <v>300</v>
      </c>
      <c r="AY38" s="54" t="s">
        <v>301</v>
      </c>
      <c r="AZ38" s="53" t="s">
        <v>300</v>
      </c>
      <c r="BA38" s="54" t="s">
        <v>301</v>
      </c>
      <c r="BB38" s="53" t="s">
        <v>300</v>
      </c>
      <c r="BC38" s="54" t="s">
        <v>301</v>
      </c>
      <c r="BD38" s="53" t="s">
        <v>300</v>
      </c>
      <c r="BE38" s="54" t="s">
        <v>301</v>
      </c>
      <c r="BF38" s="53" t="s">
        <v>300</v>
      </c>
      <c r="BG38" s="54" t="s">
        <v>301</v>
      </c>
      <c r="BH38" s="53" t="s">
        <v>300</v>
      </c>
      <c r="BI38" s="54" t="s">
        <v>301</v>
      </c>
      <c r="BJ38" s="53" t="s">
        <v>300</v>
      </c>
      <c r="BK38" s="54" t="s">
        <v>301</v>
      </c>
      <c r="BL38" s="104" t="s">
        <v>300</v>
      </c>
      <c r="BM38" s="105" t="s">
        <v>301</v>
      </c>
    </row>
    <row r="39" spans="1:65" x14ac:dyDescent="0.25">
      <c r="A39" s="91" t="s">
        <v>274</v>
      </c>
      <c r="B39" s="76"/>
      <c r="C39" s="76"/>
      <c r="D39" s="76"/>
      <c r="E39" s="76"/>
      <c r="F39" s="76"/>
      <c r="G39" s="76"/>
      <c r="H39" s="91">
        <v>6925</v>
      </c>
      <c r="I39" s="91">
        <v>25686</v>
      </c>
      <c r="J39" s="76"/>
      <c r="K39" s="76"/>
      <c r="L39" s="91">
        <v>727</v>
      </c>
      <c r="M39" s="91">
        <v>2920</v>
      </c>
      <c r="N39" s="76"/>
      <c r="O39" s="76"/>
      <c r="P39" s="90">
        <v>103.14</v>
      </c>
      <c r="Q39" s="90">
        <v>477.71</v>
      </c>
      <c r="R39" s="91">
        <v>1856.35</v>
      </c>
      <c r="S39" s="91">
        <v>6414.07</v>
      </c>
      <c r="T39" s="91">
        <v>1001</v>
      </c>
      <c r="U39" s="91">
        <v>3289</v>
      </c>
      <c r="V39" s="91">
        <v>4414</v>
      </c>
      <c r="W39" s="91">
        <v>18359</v>
      </c>
      <c r="X39" s="91">
        <v>12636</v>
      </c>
      <c r="Y39" s="91">
        <v>54176</v>
      </c>
      <c r="Z39" s="91">
        <v>3411</v>
      </c>
      <c r="AA39" s="91">
        <v>12010</v>
      </c>
      <c r="AB39" s="91">
        <v>108</v>
      </c>
      <c r="AC39" s="91">
        <v>352</v>
      </c>
      <c r="AD39" s="91">
        <v>872</v>
      </c>
      <c r="AE39" s="91">
        <v>3477</v>
      </c>
      <c r="AF39" s="91">
        <v>338</v>
      </c>
      <c r="AG39" s="91">
        <v>726</v>
      </c>
      <c r="AH39" s="76"/>
      <c r="AI39" s="76"/>
      <c r="AJ39" s="76"/>
      <c r="AK39" s="76"/>
      <c r="AL39" s="91">
        <v>9653.0499999999993</v>
      </c>
      <c r="AM39" s="91">
        <v>32507.75</v>
      </c>
      <c r="AN39" s="91"/>
      <c r="AO39" s="91"/>
      <c r="AP39" s="91">
        <v>81</v>
      </c>
      <c r="AQ39" s="91">
        <v>407</v>
      </c>
      <c r="AR39" s="76">
        <v>2529</v>
      </c>
      <c r="AS39" s="76">
        <v>16786</v>
      </c>
      <c r="AT39" s="91">
        <v>1309</v>
      </c>
      <c r="AU39" s="91">
        <v>5497</v>
      </c>
      <c r="AV39" s="91">
        <v>1655</v>
      </c>
      <c r="AW39" s="91">
        <v>5960</v>
      </c>
      <c r="AX39" s="91">
        <v>438</v>
      </c>
      <c r="AY39" s="91">
        <v>1454</v>
      </c>
      <c r="AZ39" s="76"/>
      <c r="BA39" s="76"/>
      <c r="BB39" s="91">
        <v>3812</v>
      </c>
      <c r="BC39" s="91">
        <v>13966</v>
      </c>
      <c r="BD39" s="91">
        <v>22874</v>
      </c>
      <c r="BE39" s="91">
        <v>82157</v>
      </c>
      <c r="BF39" s="91">
        <v>10386</v>
      </c>
      <c r="BG39" s="91">
        <v>36468</v>
      </c>
      <c r="BH39" s="91">
        <v>12421</v>
      </c>
      <c r="BI39" s="91">
        <v>40046</v>
      </c>
      <c r="BJ39" s="91">
        <v>84</v>
      </c>
      <c r="BK39" s="91">
        <v>886</v>
      </c>
      <c r="BL39" s="68">
        <f t="shared" ref="BL39:BL45" si="6">SUM(B39+D39+F39+H39+J39+L39+N39+P39+R39+T39+V39+X39+Z39+AB39+AD39+AF39+AH39+AJ39+AL39+AN39+AP39+AR39+AT39+AV39+AX39+AZ39+BB39+BD39+BF39+BH39+BJ39)</f>
        <v>97633.54</v>
      </c>
      <c r="BM39" s="68">
        <f t="shared" ref="BM39:BM45" si="7">SUM(C39+E39+G39+I39+K39+M39+O39+Q39+S39+U39+W39+Y39+AA39+AC39+AE39+AG39+AI39+AK39+AM39+AO39+AQ39+AS39+AU39+AW39+AY39+BA39+BC39+BE39+BG39+BI39+BK39)</f>
        <v>364021.53</v>
      </c>
    </row>
    <row r="40" spans="1:65" x14ac:dyDescent="0.25">
      <c r="A40" s="91" t="s">
        <v>275</v>
      </c>
      <c r="B40" s="76"/>
      <c r="C40" s="76"/>
      <c r="D40" s="76"/>
      <c r="E40" s="76"/>
      <c r="F40" s="76"/>
      <c r="G40" s="76"/>
      <c r="H40" s="91">
        <v>120</v>
      </c>
      <c r="I40" s="91">
        <v>774</v>
      </c>
      <c r="J40" s="76"/>
      <c r="K40" s="76"/>
      <c r="L40" s="91">
        <v>31</v>
      </c>
      <c r="M40" s="91">
        <v>144</v>
      </c>
      <c r="N40" s="76"/>
      <c r="O40" s="76"/>
      <c r="P40" s="90">
        <v>13.82</v>
      </c>
      <c r="Q40" s="90">
        <v>45.12</v>
      </c>
      <c r="R40" s="91">
        <v>55.39</v>
      </c>
      <c r="S40" s="91">
        <v>471.86</v>
      </c>
      <c r="T40" s="91">
        <v>113</v>
      </c>
      <c r="U40" s="91">
        <v>408</v>
      </c>
      <c r="V40" s="91">
        <v>237</v>
      </c>
      <c r="W40" s="91">
        <v>668</v>
      </c>
      <c r="X40" s="91">
        <v>204</v>
      </c>
      <c r="Y40" s="91">
        <v>2461</v>
      </c>
      <c r="Z40" s="91">
        <v>196</v>
      </c>
      <c r="AA40" s="91">
        <v>566</v>
      </c>
      <c r="AB40" s="91">
        <v>11</v>
      </c>
      <c r="AC40" s="91">
        <v>42</v>
      </c>
      <c r="AD40" s="91">
        <v>22</v>
      </c>
      <c r="AE40" s="91">
        <v>140</v>
      </c>
      <c r="AF40" s="91">
        <v>94</v>
      </c>
      <c r="AG40" s="91">
        <v>262</v>
      </c>
      <c r="AH40" s="76"/>
      <c r="AI40" s="76"/>
      <c r="AJ40" s="76"/>
      <c r="AK40" s="76"/>
      <c r="AL40" s="91">
        <v>904.46</v>
      </c>
      <c r="AM40" s="91">
        <v>2772.75</v>
      </c>
      <c r="AN40" s="91">
        <v>2</v>
      </c>
      <c r="AO40" s="91">
        <v>8</v>
      </c>
      <c r="AP40" s="91">
        <v>37</v>
      </c>
      <c r="AQ40" s="91">
        <v>196</v>
      </c>
      <c r="AR40" s="76">
        <v>89</v>
      </c>
      <c r="AS40" s="76">
        <v>396</v>
      </c>
      <c r="AT40" s="91">
        <v>196</v>
      </c>
      <c r="AU40" s="91">
        <v>735</v>
      </c>
      <c r="AV40" s="91">
        <v>17</v>
      </c>
      <c r="AW40" s="91">
        <v>65</v>
      </c>
      <c r="AX40" s="91">
        <v>21</v>
      </c>
      <c r="AY40" s="91">
        <v>83</v>
      </c>
      <c r="AZ40" s="76"/>
      <c r="BA40" s="76"/>
      <c r="BB40" s="91">
        <v>292</v>
      </c>
      <c r="BC40" s="91">
        <v>996</v>
      </c>
      <c r="BD40" s="91">
        <v>968</v>
      </c>
      <c r="BE40" s="91">
        <v>4395</v>
      </c>
      <c r="BF40" s="91">
        <v>883</v>
      </c>
      <c r="BG40" s="91">
        <v>3317</v>
      </c>
      <c r="BH40" s="91">
        <v>583</v>
      </c>
      <c r="BI40" s="91">
        <v>2468</v>
      </c>
      <c r="BJ40" s="91">
        <v>30</v>
      </c>
      <c r="BK40" s="91">
        <v>61</v>
      </c>
      <c r="BL40" s="68">
        <f t="shared" si="6"/>
        <v>5119.67</v>
      </c>
      <c r="BM40" s="68">
        <f t="shared" si="7"/>
        <v>21474.73</v>
      </c>
    </row>
    <row r="41" spans="1:65" x14ac:dyDescent="0.25">
      <c r="A41" s="91" t="s">
        <v>276</v>
      </c>
      <c r="B41" s="76"/>
      <c r="C41" s="76"/>
      <c r="D41" s="76"/>
      <c r="E41" s="76"/>
      <c r="F41" s="76"/>
      <c r="G41" s="76"/>
      <c r="H41" s="91">
        <v>-6221</v>
      </c>
      <c r="I41" s="91">
        <v>-23546</v>
      </c>
      <c r="J41" s="76"/>
      <c r="K41" s="76"/>
      <c r="L41" s="91">
        <v>412</v>
      </c>
      <c r="M41" s="91">
        <v>1788</v>
      </c>
      <c r="N41" s="76"/>
      <c r="O41" s="76"/>
      <c r="P41" s="90">
        <v>102.52</v>
      </c>
      <c r="Q41" s="90">
        <v>462.99</v>
      </c>
      <c r="R41" s="91">
        <v>1543.1</v>
      </c>
      <c r="S41" s="91">
        <v>5492.35</v>
      </c>
      <c r="T41" s="91">
        <v>993</v>
      </c>
      <c r="U41" s="91">
        <v>3282</v>
      </c>
      <c r="V41" s="91">
        <v>-3902</v>
      </c>
      <c r="W41" s="91">
        <v>-14639</v>
      </c>
      <c r="X41" s="91">
        <v>8710</v>
      </c>
      <c r="Y41" s="91">
        <v>40080</v>
      </c>
      <c r="Z41" s="91">
        <v>2774</v>
      </c>
      <c r="AA41" s="91">
        <v>10394</v>
      </c>
      <c r="AB41" s="91">
        <v>83</v>
      </c>
      <c r="AC41" s="91">
        <v>399</v>
      </c>
      <c r="AD41" s="91">
        <v>650</v>
      </c>
      <c r="AE41" s="91">
        <v>2810</v>
      </c>
      <c r="AF41" s="91">
        <v>-378</v>
      </c>
      <c r="AG41" s="91">
        <v>-841</v>
      </c>
      <c r="AH41" s="76"/>
      <c r="AI41" s="76"/>
      <c r="AJ41" s="76"/>
      <c r="AK41" s="76"/>
      <c r="AL41" s="91">
        <v>3053.39</v>
      </c>
      <c r="AM41" s="91">
        <v>12049.07</v>
      </c>
      <c r="AN41" s="91"/>
      <c r="AO41" s="91"/>
      <c r="AP41" s="91">
        <v>95</v>
      </c>
      <c r="AQ41" s="91">
        <v>482</v>
      </c>
      <c r="AR41" s="76">
        <v>1868</v>
      </c>
      <c r="AS41" s="76">
        <v>13189</v>
      </c>
      <c r="AT41" s="91">
        <v>1276</v>
      </c>
      <c r="AU41" s="91">
        <v>5173</v>
      </c>
      <c r="AV41" s="91">
        <v>981</v>
      </c>
      <c r="AW41" s="91">
        <v>3853</v>
      </c>
      <c r="AX41" s="91">
        <v>233</v>
      </c>
      <c r="AY41" s="91">
        <v>711</v>
      </c>
      <c r="AZ41" s="76"/>
      <c r="BA41" s="76"/>
      <c r="BB41" s="91">
        <v>3351</v>
      </c>
      <c r="BC41" s="91">
        <v>12245</v>
      </c>
      <c r="BD41" s="91">
        <v>11552</v>
      </c>
      <c r="BE41" s="91">
        <v>44122</v>
      </c>
      <c r="BF41" s="91">
        <v>5596</v>
      </c>
      <c r="BG41" s="91">
        <v>18978</v>
      </c>
      <c r="BH41" s="91">
        <v>6421</v>
      </c>
      <c r="BI41" s="91">
        <v>21463</v>
      </c>
      <c r="BJ41" s="91">
        <v>116</v>
      </c>
      <c r="BK41" s="91">
        <v>975</v>
      </c>
      <c r="BL41" s="68">
        <f t="shared" si="6"/>
        <v>39309.01</v>
      </c>
      <c r="BM41" s="68">
        <f t="shared" si="7"/>
        <v>158922.41</v>
      </c>
    </row>
    <row r="42" spans="1:65" s="7" customFormat="1" x14ac:dyDescent="0.25">
      <c r="A42" s="10" t="s">
        <v>277</v>
      </c>
      <c r="B42" s="10"/>
      <c r="C42" s="10"/>
      <c r="D42" s="10"/>
      <c r="E42" s="10"/>
      <c r="F42" s="10"/>
      <c r="G42" s="10"/>
      <c r="H42" s="10">
        <v>824</v>
      </c>
      <c r="I42" s="10">
        <v>2914</v>
      </c>
      <c r="J42" s="10"/>
      <c r="K42" s="10"/>
      <c r="L42" s="10">
        <v>346</v>
      </c>
      <c r="M42" s="10">
        <v>1275</v>
      </c>
      <c r="N42" s="10"/>
      <c r="O42" s="10"/>
      <c r="P42" s="127">
        <v>14.44</v>
      </c>
      <c r="Q42" s="127">
        <v>59.84</v>
      </c>
      <c r="R42" s="10">
        <v>368.64</v>
      </c>
      <c r="S42" s="10">
        <v>1393.58</v>
      </c>
      <c r="T42" s="10">
        <v>121</v>
      </c>
      <c r="U42" s="10">
        <v>415</v>
      </c>
      <c r="V42" s="10">
        <v>749</v>
      </c>
      <c r="W42" s="10">
        <v>4388</v>
      </c>
      <c r="X42" s="10">
        <v>4130</v>
      </c>
      <c r="Y42" s="10">
        <v>16557</v>
      </c>
      <c r="Z42" s="10">
        <v>833</v>
      </c>
      <c r="AA42" s="10">
        <v>2182</v>
      </c>
      <c r="AB42" s="10">
        <v>36</v>
      </c>
      <c r="AC42" s="10">
        <v>-5</v>
      </c>
      <c r="AD42" s="10">
        <v>244</v>
      </c>
      <c r="AE42" s="10">
        <v>807</v>
      </c>
      <c r="AF42" s="10">
        <v>55</v>
      </c>
      <c r="AG42" s="10">
        <v>148</v>
      </c>
      <c r="AH42" s="10"/>
      <c r="AI42" s="10"/>
      <c r="AJ42" s="10"/>
      <c r="AK42" s="10"/>
      <c r="AL42" s="10">
        <v>7504.12</v>
      </c>
      <c r="AM42" s="10">
        <v>23231.43</v>
      </c>
      <c r="AN42" s="10">
        <v>2</v>
      </c>
      <c r="AO42" s="10">
        <v>8</v>
      </c>
      <c r="AP42" s="10">
        <v>23</v>
      </c>
      <c r="AQ42" s="10">
        <v>122</v>
      </c>
      <c r="AR42" s="10">
        <v>751</v>
      </c>
      <c r="AS42" s="10">
        <v>3993</v>
      </c>
      <c r="AT42" s="10">
        <v>229</v>
      </c>
      <c r="AU42" s="10">
        <v>1059</v>
      </c>
      <c r="AV42" s="10">
        <v>691</v>
      </c>
      <c r="AW42" s="10">
        <v>2172</v>
      </c>
      <c r="AX42" s="10">
        <v>226</v>
      </c>
      <c r="AY42" s="10">
        <v>826</v>
      </c>
      <c r="AZ42" s="10"/>
      <c r="BA42" s="10"/>
      <c r="BB42" s="10">
        <v>754</v>
      </c>
      <c r="BC42" s="10">
        <v>2716</v>
      </c>
      <c r="BD42" s="10">
        <v>12290</v>
      </c>
      <c r="BE42" s="10">
        <v>42430</v>
      </c>
      <c r="BF42" s="10">
        <v>5673</v>
      </c>
      <c r="BG42" s="10">
        <v>20806</v>
      </c>
      <c r="BH42" s="10">
        <v>6583</v>
      </c>
      <c r="BI42" s="10">
        <v>21050</v>
      </c>
      <c r="BJ42" s="10">
        <v>-2</v>
      </c>
      <c r="BK42" s="10">
        <v>-28</v>
      </c>
      <c r="BL42" s="63">
        <f t="shared" si="6"/>
        <v>42445.2</v>
      </c>
      <c r="BM42" s="63">
        <f t="shared" si="7"/>
        <v>148519.85</v>
      </c>
    </row>
    <row r="43" spans="1:65" x14ac:dyDescent="0.25">
      <c r="A43" s="91" t="s">
        <v>278</v>
      </c>
      <c r="B43" s="91"/>
      <c r="C43" s="91"/>
      <c r="D43" s="91"/>
      <c r="E43" s="91"/>
      <c r="F43" s="91"/>
      <c r="G43" s="91"/>
      <c r="H43" s="91">
        <v>1562</v>
      </c>
      <c r="I43" s="91">
        <v>1547</v>
      </c>
      <c r="J43" s="91"/>
      <c r="K43" s="91"/>
      <c r="L43" s="91">
        <v>752</v>
      </c>
      <c r="M43" s="91">
        <v>796</v>
      </c>
      <c r="N43" s="91"/>
      <c r="O43" s="91"/>
      <c r="P43" s="90">
        <v>52.57</v>
      </c>
      <c r="Q43" s="90">
        <v>37.18</v>
      </c>
      <c r="R43" s="91">
        <v>638.46</v>
      </c>
      <c r="S43" s="91">
        <v>474.12</v>
      </c>
      <c r="T43" s="91">
        <v>252</v>
      </c>
      <c r="U43" s="91">
        <v>89</v>
      </c>
      <c r="V43" s="91">
        <v>2051</v>
      </c>
      <c r="W43" s="91">
        <v>1933</v>
      </c>
      <c r="X43" s="91">
        <v>11258</v>
      </c>
      <c r="Y43" s="91">
        <v>9043</v>
      </c>
      <c r="Z43" s="91"/>
      <c r="AA43" s="91">
        <v>1075</v>
      </c>
      <c r="AB43" s="91">
        <v>40</v>
      </c>
      <c r="AC43" s="91">
        <v>25</v>
      </c>
      <c r="AD43" s="91">
        <v>469</v>
      </c>
      <c r="AE43" s="91">
        <v>425</v>
      </c>
      <c r="AF43" s="91">
        <v>80</v>
      </c>
      <c r="AG43" s="91">
        <v>86</v>
      </c>
      <c r="AH43" s="91"/>
      <c r="AI43" s="91"/>
      <c r="AJ43" s="91"/>
      <c r="AK43" s="91"/>
      <c r="AL43" s="91">
        <v>11745.43</v>
      </c>
      <c r="AM43" s="91">
        <v>10965.11</v>
      </c>
      <c r="AN43" s="91">
        <v>3</v>
      </c>
      <c r="AO43" s="91">
        <v>3</v>
      </c>
      <c r="AP43" s="91">
        <v>54</v>
      </c>
      <c r="AQ43" s="91">
        <v>15</v>
      </c>
      <c r="AR43" s="91">
        <v>1683</v>
      </c>
      <c r="AS43" s="91">
        <v>1540</v>
      </c>
      <c r="AT43" s="91">
        <v>654</v>
      </c>
      <c r="AU43" s="91">
        <v>577</v>
      </c>
      <c r="AV43" s="91">
        <v>1597</v>
      </c>
      <c r="AW43" s="91">
        <v>1469</v>
      </c>
      <c r="AX43" s="91"/>
      <c r="AY43" s="91">
        <v>516</v>
      </c>
      <c r="AZ43" s="91"/>
      <c r="BA43" s="91"/>
      <c r="BB43" s="91">
        <v>1527</v>
      </c>
      <c r="BC43" s="91">
        <v>671</v>
      </c>
      <c r="BD43" s="91">
        <v>42336</v>
      </c>
      <c r="BE43" s="91">
        <v>38868</v>
      </c>
      <c r="BF43" s="91">
        <v>0</v>
      </c>
      <c r="BG43" s="91">
        <v>0</v>
      </c>
      <c r="BH43" s="91">
        <v>10691</v>
      </c>
      <c r="BI43" s="91">
        <v>11282</v>
      </c>
      <c r="BJ43" s="91">
        <v>55</v>
      </c>
      <c r="BK43" s="91">
        <v>75</v>
      </c>
      <c r="BL43" s="68">
        <f t="shared" si="6"/>
        <v>87500.459999999992</v>
      </c>
      <c r="BM43" s="68">
        <f t="shared" si="7"/>
        <v>81511.41</v>
      </c>
    </row>
    <row r="44" spans="1:65" x14ac:dyDescent="0.25">
      <c r="A44" s="2" t="s">
        <v>279</v>
      </c>
      <c r="B44" s="91"/>
      <c r="C44" s="91"/>
      <c r="D44" s="91"/>
      <c r="E44" s="91"/>
      <c r="F44" s="91"/>
      <c r="G44" s="91"/>
      <c r="H44" s="91">
        <v>1640</v>
      </c>
      <c r="I44" s="91">
        <v>1640</v>
      </c>
      <c r="J44" s="91"/>
      <c r="K44" s="91"/>
      <c r="L44" s="91">
        <v>756</v>
      </c>
      <c r="M44" s="91">
        <v>756</v>
      </c>
      <c r="N44" s="91"/>
      <c r="O44" s="91"/>
      <c r="P44" s="90">
        <v>53.09</v>
      </c>
      <c r="Q44" s="90">
        <v>53.09</v>
      </c>
      <c r="R44" s="91">
        <v>679.63</v>
      </c>
      <c r="S44" s="91">
        <v>679.63</v>
      </c>
      <c r="T44" s="91">
        <v>283</v>
      </c>
      <c r="U44" s="91">
        <v>283</v>
      </c>
      <c r="V44" s="91">
        <v>-1880</v>
      </c>
      <c r="W44" s="91">
        <v>-1880</v>
      </c>
      <c r="X44" s="91">
        <v>11307</v>
      </c>
      <c r="Y44" s="91">
        <v>11307</v>
      </c>
      <c r="Z44" s="91">
        <v>113</v>
      </c>
      <c r="AA44" s="91">
        <v>1172</v>
      </c>
      <c r="AB44" s="91">
        <v>47</v>
      </c>
      <c r="AC44" s="91">
        <v>47</v>
      </c>
      <c r="AD44" s="91">
        <v>521</v>
      </c>
      <c r="AE44" s="91">
        <v>521</v>
      </c>
      <c r="AF44" s="91">
        <v>-96</v>
      </c>
      <c r="AG44" s="91">
        <v>-96</v>
      </c>
      <c r="AH44" s="91"/>
      <c r="AI44" s="91"/>
      <c r="AJ44" s="91"/>
      <c r="AK44" s="91"/>
      <c r="AL44" s="91">
        <v>11163.98</v>
      </c>
      <c r="AM44" s="91">
        <v>11163.98</v>
      </c>
      <c r="AN44" s="91">
        <v>-3</v>
      </c>
      <c r="AO44" s="91">
        <v>-3</v>
      </c>
      <c r="AP44" s="91">
        <v>47</v>
      </c>
      <c r="AQ44" s="91">
        <v>47</v>
      </c>
      <c r="AR44" s="91">
        <v>1528</v>
      </c>
      <c r="AS44" s="91">
        <v>1528</v>
      </c>
      <c r="AT44" s="91">
        <v>613</v>
      </c>
      <c r="AU44" s="91">
        <v>613</v>
      </c>
      <c r="AV44" s="91">
        <v>1824</v>
      </c>
      <c r="AW44" s="91">
        <v>1824</v>
      </c>
      <c r="AX44" s="91">
        <v>15</v>
      </c>
      <c r="AY44" s="91">
        <v>499</v>
      </c>
      <c r="AZ44" s="91"/>
      <c r="BA44" s="91"/>
      <c r="BB44" s="91">
        <v>1871</v>
      </c>
      <c r="BC44" s="91">
        <v>1871</v>
      </c>
      <c r="BD44" s="91">
        <v>43885</v>
      </c>
      <c r="BE44" s="91">
        <v>43885</v>
      </c>
      <c r="BF44" s="91">
        <v>-148</v>
      </c>
      <c r="BG44" s="91">
        <v>1095</v>
      </c>
      <c r="BH44" s="91">
        <v>11014</v>
      </c>
      <c r="BI44" s="91">
        <v>11014</v>
      </c>
      <c r="BJ44" s="91">
        <v>-58</v>
      </c>
      <c r="BK44" s="91">
        <v>-58</v>
      </c>
      <c r="BL44" s="68">
        <f t="shared" si="6"/>
        <v>85175.7</v>
      </c>
      <c r="BM44" s="68">
        <f t="shared" si="7"/>
        <v>87961.7</v>
      </c>
    </row>
    <row r="45" spans="1:65" s="7" customFormat="1" x14ac:dyDescent="0.25">
      <c r="A45" s="10" t="s">
        <v>192</v>
      </c>
      <c r="B45" s="10"/>
      <c r="C45" s="10"/>
      <c r="D45" s="10"/>
      <c r="E45" s="10"/>
      <c r="F45" s="10"/>
      <c r="G45" s="10"/>
      <c r="H45" s="10">
        <v>746</v>
      </c>
      <c r="I45" s="10">
        <v>2821</v>
      </c>
      <c r="J45" s="10"/>
      <c r="K45" s="10"/>
      <c r="L45" s="10">
        <v>341</v>
      </c>
      <c r="M45" s="10">
        <v>1315</v>
      </c>
      <c r="N45" s="10"/>
      <c r="O45" s="10"/>
      <c r="P45" s="127">
        <v>13.92</v>
      </c>
      <c r="Q45" s="127">
        <v>43.93</v>
      </c>
      <c r="R45" s="10">
        <v>327.47000000000003</v>
      </c>
      <c r="S45" s="10">
        <v>1188.07</v>
      </c>
      <c r="T45" s="10">
        <v>90</v>
      </c>
      <c r="U45" s="10">
        <v>221</v>
      </c>
      <c r="V45" s="10">
        <v>920</v>
      </c>
      <c r="W45" s="10">
        <v>4442</v>
      </c>
      <c r="X45" s="10">
        <v>4081</v>
      </c>
      <c r="Y45" s="10">
        <v>14757</v>
      </c>
      <c r="Z45" s="10">
        <v>720</v>
      </c>
      <c r="AA45" s="10">
        <v>2085</v>
      </c>
      <c r="AB45" s="10">
        <v>29</v>
      </c>
      <c r="AC45" s="10">
        <v>-27</v>
      </c>
      <c r="AD45" s="10">
        <v>192</v>
      </c>
      <c r="AE45" s="10">
        <v>711</v>
      </c>
      <c r="AF45" s="10">
        <v>39</v>
      </c>
      <c r="AG45" s="10">
        <v>138</v>
      </c>
      <c r="AH45" s="10"/>
      <c r="AI45" s="10"/>
      <c r="AJ45" s="10"/>
      <c r="AK45" s="10"/>
      <c r="AL45" s="10">
        <v>8085.56</v>
      </c>
      <c r="AM45" s="10">
        <v>23032.55</v>
      </c>
      <c r="AN45" s="10">
        <v>2</v>
      </c>
      <c r="AO45" s="10">
        <v>8</v>
      </c>
      <c r="AP45" s="10">
        <v>29</v>
      </c>
      <c r="AQ45" s="10">
        <v>90</v>
      </c>
      <c r="AR45" s="10">
        <v>906</v>
      </c>
      <c r="AS45" s="10">
        <v>4005</v>
      </c>
      <c r="AT45" s="10">
        <v>269</v>
      </c>
      <c r="AU45" s="10">
        <v>1024</v>
      </c>
      <c r="AV45" s="10">
        <v>464</v>
      </c>
      <c r="AW45" s="10">
        <v>1817</v>
      </c>
      <c r="AX45" s="10">
        <v>212</v>
      </c>
      <c r="AY45" s="10">
        <v>843</v>
      </c>
      <c r="AZ45" s="10"/>
      <c r="BA45" s="10"/>
      <c r="BB45" s="10">
        <v>410</v>
      </c>
      <c r="BC45" s="10">
        <v>1516</v>
      </c>
      <c r="BD45" s="10">
        <v>10741</v>
      </c>
      <c r="BE45" s="10">
        <v>37413</v>
      </c>
      <c r="BF45" s="10">
        <v>5821</v>
      </c>
      <c r="BG45" s="10">
        <v>19712</v>
      </c>
      <c r="BH45" s="10">
        <v>6260</v>
      </c>
      <c r="BI45" s="10">
        <v>21318</v>
      </c>
      <c r="BJ45" s="10">
        <v>-4</v>
      </c>
      <c r="BK45" s="10">
        <v>-12</v>
      </c>
      <c r="BL45" s="63">
        <f t="shared" si="6"/>
        <v>40694.949999999997</v>
      </c>
      <c r="BM45" s="63">
        <f t="shared" si="7"/>
        <v>138461.54999999999</v>
      </c>
    </row>
    <row r="47" spans="1:65" x14ac:dyDescent="0.25">
      <c r="A47" s="23" t="s">
        <v>186</v>
      </c>
    </row>
    <row r="48" spans="1:65" x14ac:dyDescent="0.25">
      <c r="A48" s="1" t="s">
        <v>0</v>
      </c>
      <c r="B48" s="154" t="s">
        <v>1</v>
      </c>
      <c r="C48" s="155"/>
      <c r="D48" s="154" t="s">
        <v>234</v>
      </c>
      <c r="E48" s="155"/>
      <c r="F48" s="154" t="s">
        <v>2</v>
      </c>
      <c r="G48" s="155"/>
      <c r="H48" s="154" t="s">
        <v>3</v>
      </c>
      <c r="I48" s="155"/>
      <c r="J48" s="154" t="s">
        <v>243</v>
      </c>
      <c r="K48" s="155"/>
      <c r="L48" s="154" t="s">
        <v>235</v>
      </c>
      <c r="M48" s="155"/>
      <c r="N48" s="154" t="s">
        <v>5</v>
      </c>
      <c r="O48" s="155"/>
      <c r="P48" s="154" t="s">
        <v>4</v>
      </c>
      <c r="Q48" s="155"/>
      <c r="R48" s="154" t="s">
        <v>6</v>
      </c>
      <c r="S48" s="155"/>
      <c r="T48" s="154" t="s">
        <v>246</v>
      </c>
      <c r="U48" s="155"/>
      <c r="V48" s="154" t="s">
        <v>7</v>
      </c>
      <c r="W48" s="155"/>
      <c r="X48" s="154" t="s">
        <v>8</v>
      </c>
      <c r="Y48" s="155"/>
      <c r="Z48" s="154" t="s">
        <v>9</v>
      </c>
      <c r="AA48" s="155"/>
      <c r="AB48" s="154" t="s">
        <v>242</v>
      </c>
      <c r="AC48" s="155"/>
      <c r="AD48" s="154" t="s">
        <v>10</v>
      </c>
      <c r="AE48" s="155"/>
      <c r="AF48" s="154" t="s">
        <v>11</v>
      </c>
      <c r="AG48" s="155"/>
      <c r="AH48" s="154" t="s">
        <v>236</v>
      </c>
      <c r="AI48" s="155"/>
      <c r="AJ48" s="154" t="s">
        <v>245</v>
      </c>
      <c r="AK48" s="155"/>
      <c r="AL48" s="154" t="s">
        <v>12</v>
      </c>
      <c r="AM48" s="155"/>
      <c r="AN48" s="154" t="s">
        <v>237</v>
      </c>
      <c r="AO48" s="155"/>
      <c r="AP48" s="154" t="s">
        <v>238</v>
      </c>
      <c r="AQ48" s="155"/>
      <c r="AR48" s="154" t="s">
        <v>241</v>
      </c>
      <c r="AS48" s="155"/>
      <c r="AT48" s="154" t="s">
        <v>13</v>
      </c>
      <c r="AU48" s="155"/>
      <c r="AV48" s="154" t="s">
        <v>14</v>
      </c>
      <c r="AW48" s="155"/>
      <c r="AX48" s="154" t="s">
        <v>15</v>
      </c>
      <c r="AY48" s="155"/>
      <c r="AZ48" s="154" t="s">
        <v>16</v>
      </c>
      <c r="BA48" s="155"/>
      <c r="BB48" s="154" t="s">
        <v>17</v>
      </c>
      <c r="BC48" s="155"/>
      <c r="BD48" s="154" t="s">
        <v>239</v>
      </c>
      <c r="BE48" s="155"/>
      <c r="BF48" s="154" t="s">
        <v>240</v>
      </c>
      <c r="BG48" s="155"/>
      <c r="BH48" s="154" t="s">
        <v>18</v>
      </c>
      <c r="BI48" s="155"/>
      <c r="BJ48" s="154" t="s">
        <v>19</v>
      </c>
      <c r="BK48" s="155"/>
      <c r="BL48" s="156" t="s">
        <v>20</v>
      </c>
      <c r="BM48" s="157"/>
    </row>
    <row r="49" spans="1:65" ht="30" x14ac:dyDescent="0.25">
      <c r="A49" s="1"/>
      <c r="B49" s="53" t="s">
        <v>300</v>
      </c>
      <c r="C49" s="54" t="s">
        <v>301</v>
      </c>
      <c r="D49" s="53" t="s">
        <v>300</v>
      </c>
      <c r="E49" s="54" t="s">
        <v>301</v>
      </c>
      <c r="F49" s="53" t="s">
        <v>300</v>
      </c>
      <c r="G49" s="54" t="s">
        <v>301</v>
      </c>
      <c r="H49" s="53" t="s">
        <v>300</v>
      </c>
      <c r="I49" s="54" t="s">
        <v>301</v>
      </c>
      <c r="J49" s="53" t="s">
        <v>300</v>
      </c>
      <c r="K49" s="54" t="s">
        <v>301</v>
      </c>
      <c r="L49" s="53" t="s">
        <v>300</v>
      </c>
      <c r="M49" s="54" t="s">
        <v>301</v>
      </c>
      <c r="N49" s="53" t="s">
        <v>300</v>
      </c>
      <c r="O49" s="54" t="s">
        <v>301</v>
      </c>
      <c r="P49" s="53" t="s">
        <v>300</v>
      </c>
      <c r="Q49" s="54" t="s">
        <v>301</v>
      </c>
      <c r="R49" s="53" t="s">
        <v>300</v>
      </c>
      <c r="S49" s="54" t="s">
        <v>301</v>
      </c>
      <c r="T49" s="53" t="s">
        <v>300</v>
      </c>
      <c r="U49" s="54" t="s">
        <v>301</v>
      </c>
      <c r="V49" s="53" t="s">
        <v>300</v>
      </c>
      <c r="W49" s="54" t="s">
        <v>301</v>
      </c>
      <c r="X49" s="53" t="s">
        <v>300</v>
      </c>
      <c r="Y49" s="54" t="s">
        <v>301</v>
      </c>
      <c r="Z49" s="53" t="s">
        <v>300</v>
      </c>
      <c r="AA49" s="54" t="s">
        <v>301</v>
      </c>
      <c r="AB49" s="53" t="s">
        <v>300</v>
      </c>
      <c r="AC49" s="54" t="s">
        <v>301</v>
      </c>
      <c r="AD49" s="53" t="s">
        <v>300</v>
      </c>
      <c r="AE49" s="54" t="s">
        <v>301</v>
      </c>
      <c r="AF49" s="53" t="s">
        <v>300</v>
      </c>
      <c r="AG49" s="54" t="s">
        <v>301</v>
      </c>
      <c r="AH49" s="53" t="s">
        <v>300</v>
      </c>
      <c r="AI49" s="54" t="s">
        <v>301</v>
      </c>
      <c r="AJ49" s="53" t="s">
        <v>300</v>
      </c>
      <c r="AK49" s="54" t="s">
        <v>301</v>
      </c>
      <c r="AL49" s="53" t="s">
        <v>300</v>
      </c>
      <c r="AM49" s="54" t="s">
        <v>301</v>
      </c>
      <c r="AN49" s="53" t="s">
        <v>300</v>
      </c>
      <c r="AO49" s="54" t="s">
        <v>301</v>
      </c>
      <c r="AP49" s="53" t="s">
        <v>300</v>
      </c>
      <c r="AQ49" s="54" t="s">
        <v>301</v>
      </c>
      <c r="AR49" s="53" t="s">
        <v>300</v>
      </c>
      <c r="AS49" s="54" t="s">
        <v>301</v>
      </c>
      <c r="AT49" s="53" t="s">
        <v>300</v>
      </c>
      <c r="AU49" s="54" t="s">
        <v>301</v>
      </c>
      <c r="AV49" s="53" t="s">
        <v>300</v>
      </c>
      <c r="AW49" s="54" t="s">
        <v>301</v>
      </c>
      <c r="AX49" s="53" t="s">
        <v>300</v>
      </c>
      <c r="AY49" s="54" t="s">
        <v>301</v>
      </c>
      <c r="AZ49" s="53" t="s">
        <v>300</v>
      </c>
      <c r="BA49" s="54" t="s">
        <v>301</v>
      </c>
      <c r="BB49" s="53" t="s">
        <v>300</v>
      </c>
      <c r="BC49" s="54" t="s">
        <v>301</v>
      </c>
      <c r="BD49" s="53" t="s">
        <v>300</v>
      </c>
      <c r="BE49" s="54" t="s">
        <v>301</v>
      </c>
      <c r="BF49" s="53" t="s">
        <v>300</v>
      </c>
      <c r="BG49" s="54" t="s">
        <v>301</v>
      </c>
      <c r="BH49" s="53" t="s">
        <v>300</v>
      </c>
      <c r="BI49" s="54" t="s">
        <v>301</v>
      </c>
      <c r="BJ49" s="53" t="s">
        <v>300</v>
      </c>
      <c r="BK49" s="54" t="s">
        <v>301</v>
      </c>
      <c r="BL49" s="104" t="s">
        <v>300</v>
      </c>
      <c r="BM49" s="105" t="s">
        <v>301</v>
      </c>
    </row>
    <row r="50" spans="1:65" x14ac:dyDescent="0.25">
      <c r="A50" s="91" t="s">
        <v>274</v>
      </c>
      <c r="B50" s="91">
        <v>11191</v>
      </c>
      <c r="C50" s="91">
        <v>37453</v>
      </c>
      <c r="D50" s="91">
        <v>50929</v>
      </c>
      <c r="E50" s="91">
        <v>156361</v>
      </c>
      <c r="F50" s="76"/>
      <c r="G50" s="76"/>
      <c r="H50" s="91">
        <v>64252</v>
      </c>
      <c r="I50" s="91">
        <v>310882</v>
      </c>
      <c r="J50" s="91">
        <v>107245</v>
      </c>
      <c r="K50" s="91">
        <v>342550</v>
      </c>
      <c r="L50" s="91">
        <v>8488</v>
      </c>
      <c r="M50" s="91">
        <v>41437</v>
      </c>
      <c r="N50" s="76"/>
      <c r="O50" s="76"/>
      <c r="P50" s="90">
        <v>1209.32</v>
      </c>
      <c r="Q50" s="90">
        <v>11421.96</v>
      </c>
      <c r="R50" s="91">
        <v>22098.87</v>
      </c>
      <c r="S50" s="91">
        <v>57381.07</v>
      </c>
      <c r="T50" s="91">
        <v>7578</v>
      </c>
      <c r="U50" s="91">
        <v>41948</v>
      </c>
      <c r="V50" s="91">
        <v>152399</v>
      </c>
      <c r="W50" s="91">
        <v>432738</v>
      </c>
      <c r="X50" s="91">
        <v>95325</v>
      </c>
      <c r="Y50" s="91">
        <v>348746</v>
      </c>
      <c r="Z50" s="91">
        <v>52092</v>
      </c>
      <c r="AA50" s="91">
        <v>94048</v>
      </c>
      <c r="AB50" s="91">
        <v>7387</v>
      </c>
      <c r="AC50" s="91">
        <v>23627</v>
      </c>
      <c r="AD50" s="91">
        <v>8266</v>
      </c>
      <c r="AE50" s="91">
        <v>23777</v>
      </c>
      <c r="AF50" s="91">
        <v>3052</v>
      </c>
      <c r="AG50" s="91">
        <v>10743</v>
      </c>
      <c r="AH50" s="91">
        <v>29128.14</v>
      </c>
      <c r="AI50" s="91">
        <v>96899.32</v>
      </c>
      <c r="AJ50" s="91">
        <v>87100</v>
      </c>
      <c r="AK50" s="91">
        <v>274904</v>
      </c>
      <c r="AL50" s="91">
        <v>115580.55</v>
      </c>
      <c r="AM50" s="91">
        <v>585167.72</v>
      </c>
      <c r="AN50" s="91">
        <v>1924</v>
      </c>
      <c r="AO50" s="91">
        <v>3783</v>
      </c>
      <c r="AP50" s="91">
        <v>122</v>
      </c>
      <c r="AQ50" s="91">
        <v>476</v>
      </c>
      <c r="AR50" s="76">
        <v>22080</v>
      </c>
      <c r="AS50" s="76">
        <v>97840</v>
      </c>
      <c r="AT50" s="91">
        <v>9829</v>
      </c>
      <c r="AU50" s="91">
        <v>37784</v>
      </c>
      <c r="AV50" s="91">
        <v>84817</v>
      </c>
      <c r="AW50" s="91">
        <v>186467</v>
      </c>
      <c r="AX50" s="91">
        <v>54</v>
      </c>
      <c r="AY50" s="91">
        <v>894</v>
      </c>
      <c r="AZ50" s="91">
        <v>362863</v>
      </c>
      <c r="BA50" s="91">
        <v>1129431</v>
      </c>
      <c r="BB50" s="91">
        <v>46614</v>
      </c>
      <c r="BC50" s="91">
        <v>143236</v>
      </c>
      <c r="BD50" s="91">
        <v>303543</v>
      </c>
      <c r="BE50" s="91">
        <v>1458639</v>
      </c>
      <c r="BF50" s="91">
        <v>137928</v>
      </c>
      <c r="BG50" s="91">
        <v>641154</v>
      </c>
      <c r="BH50" s="91">
        <v>208603</v>
      </c>
      <c r="BI50" s="91">
        <v>631934</v>
      </c>
      <c r="BJ50" s="91">
        <v>4225</v>
      </c>
      <c r="BK50" s="91">
        <v>24831</v>
      </c>
      <c r="BL50" s="68">
        <f t="shared" ref="BL50:BL56" si="8">SUM(B50+D50+F50+H50+J50+L50+N50+P50+R50+T50+V50+X50+Z50+AB50+AD50+AF50+AH50+AJ50+AL50+AN50+AP50+AR50+AT50+AV50+AX50+AZ50+BB50+BD50+BF50+BH50+BJ50)</f>
        <v>2005922.88</v>
      </c>
      <c r="BM50" s="68">
        <f t="shared" ref="BM50:BM56" si="9">SUM(C50+E50+G50+I50+K50+M50+O50+Q50+S50+U50+W50+Y50+AA50+AC50+AE50+AG50+AI50+AK50+AM50+AO50+AQ50+AS50+AU50+AW50+AY50+BA50+BC50+BE50+BG50+BI50+BK50)</f>
        <v>7246553.0699999994</v>
      </c>
    </row>
    <row r="51" spans="1:65" x14ac:dyDescent="0.25">
      <c r="A51" s="91" t="s">
        <v>275</v>
      </c>
      <c r="B51" s="91"/>
      <c r="C51" s="91"/>
      <c r="D51" s="91"/>
      <c r="E51" s="91"/>
      <c r="F51" s="76"/>
      <c r="G51" s="76"/>
      <c r="H51" s="91"/>
      <c r="I51" s="91"/>
      <c r="J51" s="91">
        <v>2659</v>
      </c>
      <c r="K51" s="91">
        <v>6653</v>
      </c>
      <c r="L51" s="91"/>
      <c r="M51" s="91"/>
      <c r="N51" s="76"/>
      <c r="O51" s="76"/>
      <c r="P51" s="90">
        <v>10.19</v>
      </c>
      <c r="Q51" s="90">
        <v>298.89</v>
      </c>
      <c r="R51" s="91"/>
      <c r="S51" s="91"/>
      <c r="T51" s="91"/>
      <c r="U51" s="91"/>
      <c r="V51" s="91"/>
      <c r="W51" s="91"/>
      <c r="X51" s="91">
        <v>20163</v>
      </c>
      <c r="Y51" s="91">
        <v>28655</v>
      </c>
      <c r="Z51" s="91">
        <v>1968</v>
      </c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>
        <v>19006.580000000002</v>
      </c>
      <c r="AM51" s="91">
        <v>30417.96</v>
      </c>
      <c r="AN51" s="91"/>
      <c r="AO51" s="91"/>
      <c r="AP51" s="91"/>
      <c r="AQ51" s="91"/>
      <c r="AR51" s="76"/>
      <c r="AS51" s="76"/>
      <c r="AT51" s="91"/>
      <c r="AU51" s="91"/>
      <c r="AV51" s="91">
        <v>3385</v>
      </c>
      <c r="AW51" s="91">
        <v>7121</v>
      </c>
      <c r="AX51" s="91"/>
      <c r="AY51" s="91"/>
      <c r="AZ51" s="91"/>
      <c r="BA51" s="91"/>
      <c r="BB51" s="91">
        <v>13740</v>
      </c>
      <c r="BC51" s="91">
        <v>13740</v>
      </c>
      <c r="BD51" s="91">
        <v>2813</v>
      </c>
      <c r="BE51" s="91">
        <v>8974</v>
      </c>
      <c r="BF51" s="91">
        <v>8708</v>
      </c>
      <c r="BG51" s="91">
        <v>17426</v>
      </c>
      <c r="BH51" s="91"/>
      <c r="BI51" s="91"/>
      <c r="BJ51" s="91">
        <v>2000</v>
      </c>
      <c r="BK51" s="91">
        <v>2000</v>
      </c>
      <c r="BL51" s="68">
        <f t="shared" si="8"/>
        <v>74452.77</v>
      </c>
      <c r="BM51" s="68">
        <f t="shared" si="9"/>
        <v>115285.85</v>
      </c>
    </row>
    <row r="52" spans="1:65" x14ac:dyDescent="0.25">
      <c r="A52" s="91" t="s">
        <v>276</v>
      </c>
      <c r="B52" s="91">
        <v>560</v>
      </c>
      <c r="C52" s="91">
        <v>1873</v>
      </c>
      <c r="D52" s="91">
        <v>11313</v>
      </c>
      <c r="E52" s="91">
        <v>36732</v>
      </c>
      <c r="F52" s="76"/>
      <c r="G52" s="76"/>
      <c r="H52" s="91">
        <v>-11154</v>
      </c>
      <c r="I52" s="91">
        <v>-111642</v>
      </c>
      <c r="J52" s="91">
        <v>32684</v>
      </c>
      <c r="K52" s="91">
        <v>82558</v>
      </c>
      <c r="L52" s="91">
        <v>2000</v>
      </c>
      <c r="M52" s="91">
        <v>8354</v>
      </c>
      <c r="N52" s="76"/>
      <c r="O52" s="76"/>
      <c r="P52" s="90">
        <v>267.89999999999998</v>
      </c>
      <c r="Q52" s="90">
        <v>1987.94</v>
      </c>
      <c r="R52" s="91">
        <v>7455.84</v>
      </c>
      <c r="S52" s="91">
        <v>19594.39</v>
      </c>
      <c r="T52" s="91">
        <v>385</v>
      </c>
      <c r="U52" s="91">
        <v>2201</v>
      </c>
      <c r="V52" s="91">
        <v>-47901</v>
      </c>
      <c r="W52" s="91">
        <v>-146454</v>
      </c>
      <c r="X52" s="91">
        <v>13482</v>
      </c>
      <c r="Y52" s="91">
        <v>55151</v>
      </c>
      <c r="Z52" s="91">
        <v>17519</v>
      </c>
      <c r="AA52" s="91">
        <v>73581</v>
      </c>
      <c r="AB52" s="91">
        <v>1068</v>
      </c>
      <c r="AC52" s="91">
        <v>3223</v>
      </c>
      <c r="AD52" s="91">
        <v>565</v>
      </c>
      <c r="AE52" s="91">
        <v>1384</v>
      </c>
      <c r="AF52" s="91">
        <v>-267</v>
      </c>
      <c r="AG52" s="91">
        <v>-933</v>
      </c>
      <c r="AH52" s="91">
        <v>1501.9</v>
      </c>
      <c r="AI52" s="91">
        <v>4997.21</v>
      </c>
      <c r="AJ52" s="91">
        <v>20426</v>
      </c>
      <c r="AK52" s="91">
        <v>63960</v>
      </c>
      <c r="AL52" s="91">
        <v>40295.25</v>
      </c>
      <c r="AM52" s="91">
        <v>69803.759999999995</v>
      </c>
      <c r="AN52" s="91">
        <v>-91</v>
      </c>
      <c r="AO52" s="91">
        <v>-167</v>
      </c>
      <c r="AP52" s="91">
        <v>6</v>
      </c>
      <c r="AQ52" s="91">
        <v>24</v>
      </c>
      <c r="AR52" s="76">
        <v>3639</v>
      </c>
      <c r="AS52" s="76">
        <v>13983</v>
      </c>
      <c r="AT52" s="91">
        <v>1429</v>
      </c>
      <c r="AU52" s="91">
        <v>5784</v>
      </c>
      <c r="AV52" s="91">
        <v>28245</v>
      </c>
      <c r="AW52" s="91">
        <v>70107</v>
      </c>
      <c r="AX52" s="91">
        <v>15</v>
      </c>
      <c r="AY52" s="91">
        <v>76</v>
      </c>
      <c r="AZ52" s="91">
        <v>20137</v>
      </c>
      <c r="BA52" s="91">
        <v>59930</v>
      </c>
      <c r="BB52" s="91">
        <v>7180</v>
      </c>
      <c r="BC52" s="91">
        <v>20784</v>
      </c>
      <c r="BD52" s="91">
        <v>-4835</v>
      </c>
      <c r="BE52" s="91">
        <v>139213</v>
      </c>
      <c r="BF52" s="91">
        <v>6373</v>
      </c>
      <c r="BG52" s="91">
        <v>27706</v>
      </c>
      <c r="BH52" s="91">
        <v>10877</v>
      </c>
      <c r="BI52" s="91">
        <v>42335</v>
      </c>
      <c r="BJ52" s="91">
        <v>2035</v>
      </c>
      <c r="BK52" s="91">
        <v>3089</v>
      </c>
      <c r="BL52" s="68">
        <f t="shared" si="8"/>
        <v>165210.89000000001</v>
      </c>
      <c r="BM52" s="68">
        <f t="shared" si="9"/>
        <v>549235.30000000005</v>
      </c>
    </row>
    <row r="53" spans="1:65" s="7" customFormat="1" x14ac:dyDescent="0.25">
      <c r="A53" s="10" t="s">
        <v>277</v>
      </c>
      <c r="B53" s="10">
        <v>10631</v>
      </c>
      <c r="C53" s="10">
        <v>35580</v>
      </c>
      <c r="D53" s="10">
        <v>39616</v>
      </c>
      <c r="E53" s="10">
        <v>119629</v>
      </c>
      <c r="F53" s="10"/>
      <c r="G53" s="10"/>
      <c r="H53" s="10">
        <v>53098</v>
      </c>
      <c r="I53" s="10">
        <v>199240</v>
      </c>
      <c r="J53" s="10">
        <v>77220</v>
      </c>
      <c r="K53" s="10">
        <v>266645</v>
      </c>
      <c r="L53" s="10">
        <v>6488</v>
      </c>
      <c r="M53" s="10">
        <v>33082</v>
      </c>
      <c r="N53" s="10"/>
      <c r="O53" s="10"/>
      <c r="P53" s="127">
        <v>951.61</v>
      </c>
      <c r="Q53" s="127">
        <v>9732.91</v>
      </c>
      <c r="R53" s="10">
        <v>14643.02</v>
      </c>
      <c r="S53" s="10">
        <v>37786.67</v>
      </c>
      <c r="T53" s="10">
        <v>7193</v>
      </c>
      <c r="U53" s="10">
        <v>39747</v>
      </c>
      <c r="V53" s="10">
        <v>104497</v>
      </c>
      <c r="W53" s="10">
        <v>286284</v>
      </c>
      <c r="X53" s="10">
        <v>102006</v>
      </c>
      <c r="Y53" s="10">
        <v>322250</v>
      </c>
      <c r="Z53" s="10">
        <v>36541</v>
      </c>
      <c r="AA53" s="10">
        <v>20467</v>
      </c>
      <c r="AB53" s="10">
        <v>6319</v>
      </c>
      <c r="AC53" s="10">
        <v>20404</v>
      </c>
      <c r="AD53" s="10">
        <v>7700</v>
      </c>
      <c r="AE53" s="10">
        <v>22393</v>
      </c>
      <c r="AF53" s="10">
        <v>2786</v>
      </c>
      <c r="AG53" s="10">
        <v>9810</v>
      </c>
      <c r="AH53" s="10">
        <v>27626.240000000002</v>
      </c>
      <c r="AI53" s="10">
        <v>91902.1</v>
      </c>
      <c r="AJ53" s="10">
        <v>66674</v>
      </c>
      <c r="AK53" s="10">
        <v>210944</v>
      </c>
      <c r="AL53" s="10">
        <v>94291.87</v>
      </c>
      <c r="AM53" s="10">
        <v>545781.91</v>
      </c>
      <c r="AN53" s="10">
        <v>1833</v>
      </c>
      <c r="AO53" s="10">
        <v>3615</v>
      </c>
      <c r="AP53" s="10">
        <v>116</v>
      </c>
      <c r="AQ53" s="10">
        <v>452</v>
      </c>
      <c r="AR53" s="10">
        <v>18440</v>
      </c>
      <c r="AS53" s="10">
        <v>83857</v>
      </c>
      <c r="AT53" s="10">
        <v>8399</v>
      </c>
      <c r="AU53" s="10">
        <v>31999</v>
      </c>
      <c r="AV53" s="10">
        <v>59957</v>
      </c>
      <c r="AW53" s="10">
        <v>123481</v>
      </c>
      <c r="AX53" s="10">
        <v>39</v>
      </c>
      <c r="AY53" s="10">
        <v>817</v>
      </c>
      <c r="AZ53" s="10">
        <v>342726</v>
      </c>
      <c r="BA53" s="10">
        <v>1069501</v>
      </c>
      <c r="BB53" s="10">
        <v>53173</v>
      </c>
      <c r="BC53" s="10">
        <v>136191</v>
      </c>
      <c r="BD53" s="10">
        <v>311191</v>
      </c>
      <c r="BE53" s="10">
        <v>1328400</v>
      </c>
      <c r="BF53" s="10">
        <v>140263</v>
      </c>
      <c r="BG53" s="10">
        <v>630874</v>
      </c>
      <c r="BH53" s="10">
        <v>197726</v>
      </c>
      <c r="BI53" s="10">
        <v>589600</v>
      </c>
      <c r="BJ53" s="10">
        <v>4190</v>
      </c>
      <c r="BK53" s="10">
        <v>23743</v>
      </c>
      <c r="BL53" s="63">
        <f t="shared" si="8"/>
        <v>1796334.74</v>
      </c>
      <c r="BM53" s="63">
        <f t="shared" si="9"/>
        <v>6294208.5899999999</v>
      </c>
    </row>
    <row r="54" spans="1:65" x14ac:dyDescent="0.25">
      <c r="A54" s="91" t="s">
        <v>278</v>
      </c>
      <c r="B54" s="91">
        <v>12051</v>
      </c>
      <c r="C54" s="91">
        <v>4851</v>
      </c>
      <c r="D54" s="91">
        <v>54176</v>
      </c>
      <c r="E54" s="91">
        <v>43105</v>
      </c>
      <c r="F54" s="91"/>
      <c r="G54" s="91"/>
      <c r="H54" s="91">
        <v>92886</v>
      </c>
      <c r="I54" s="91">
        <v>83862</v>
      </c>
      <c r="J54" s="91">
        <v>119844</v>
      </c>
      <c r="K54" s="91">
        <v>83031</v>
      </c>
      <c r="L54" s="91">
        <v>17733</v>
      </c>
      <c r="M54" s="91">
        <v>12600</v>
      </c>
      <c r="N54" s="91"/>
      <c r="O54" s="91"/>
      <c r="P54" s="90">
        <v>5701.75</v>
      </c>
      <c r="Q54" s="90">
        <v>4008.58</v>
      </c>
      <c r="R54" s="91">
        <v>11788.09</v>
      </c>
      <c r="S54" s="91">
        <v>14654.08</v>
      </c>
      <c r="T54" s="91">
        <v>17076</v>
      </c>
      <c r="U54" s="91">
        <v>5178</v>
      </c>
      <c r="V54" s="91">
        <v>150662</v>
      </c>
      <c r="W54" s="91">
        <v>164773</v>
      </c>
      <c r="X54" s="91">
        <v>168260</v>
      </c>
      <c r="Y54" s="91">
        <v>139523</v>
      </c>
      <c r="Z54" s="91"/>
      <c r="AA54" s="91">
        <v>1933</v>
      </c>
      <c r="AB54" s="91">
        <v>13949</v>
      </c>
      <c r="AC54" s="91">
        <v>11987</v>
      </c>
      <c r="AD54" s="91">
        <v>10003</v>
      </c>
      <c r="AE54" s="91">
        <v>10372</v>
      </c>
      <c r="AF54" s="91">
        <v>5384</v>
      </c>
      <c r="AG54" s="91">
        <v>4512</v>
      </c>
      <c r="AH54" s="91">
        <v>42755.39</v>
      </c>
      <c r="AI54" s="91">
        <v>35350.019999999997</v>
      </c>
      <c r="AJ54" s="91">
        <v>93667</v>
      </c>
      <c r="AK54" s="91">
        <v>63826</v>
      </c>
      <c r="AL54" s="91">
        <v>285850.78000000003</v>
      </c>
      <c r="AM54" s="91">
        <v>258965.72</v>
      </c>
      <c r="AN54" s="91">
        <v>3621</v>
      </c>
      <c r="AO54" s="91">
        <v>3981</v>
      </c>
      <c r="AP54" s="91">
        <v>209</v>
      </c>
      <c r="AQ54" s="91">
        <v>709</v>
      </c>
      <c r="AR54" s="91">
        <v>33719</v>
      </c>
      <c r="AS54" s="91">
        <v>21415</v>
      </c>
      <c r="AT54" s="91">
        <v>15571</v>
      </c>
      <c r="AU54" s="91">
        <v>14831</v>
      </c>
      <c r="AV54" s="91">
        <v>47048</v>
      </c>
      <c r="AW54" s="91">
        <v>68193</v>
      </c>
      <c r="AX54" s="91"/>
      <c r="AY54" s="91">
        <v>396</v>
      </c>
      <c r="AZ54" s="91">
        <v>521124</v>
      </c>
      <c r="BA54" s="91">
        <v>506830</v>
      </c>
      <c r="BB54" s="91">
        <v>66661</v>
      </c>
      <c r="BC54" s="91">
        <v>53906</v>
      </c>
      <c r="BD54" s="91">
        <v>483255</v>
      </c>
      <c r="BE54" s="91">
        <v>376874</v>
      </c>
      <c r="BF54" s="91">
        <v>0</v>
      </c>
      <c r="BG54" s="91">
        <v>0</v>
      </c>
      <c r="BH54" s="91">
        <v>292514</v>
      </c>
      <c r="BI54" s="91">
        <v>292241</v>
      </c>
      <c r="BJ54" s="91">
        <v>10930</v>
      </c>
      <c r="BK54" s="91">
        <v>9756</v>
      </c>
      <c r="BL54" s="68">
        <f t="shared" si="8"/>
        <v>2576439.0100000002</v>
      </c>
      <c r="BM54" s="68">
        <f t="shared" si="9"/>
        <v>2291663.4</v>
      </c>
    </row>
    <row r="55" spans="1:65" x14ac:dyDescent="0.25">
      <c r="A55" s="2" t="s">
        <v>279</v>
      </c>
      <c r="B55" s="91">
        <v>13974</v>
      </c>
      <c r="C55" s="91">
        <v>13974</v>
      </c>
      <c r="D55" s="91">
        <v>58838</v>
      </c>
      <c r="E55" s="91">
        <v>58838</v>
      </c>
      <c r="F55" s="91"/>
      <c r="G55" s="91"/>
      <c r="H55" s="91">
        <v>88152</v>
      </c>
      <c r="I55" s="91">
        <v>88152</v>
      </c>
      <c r="J55" s="91">
        <v>131778</v>
      </c>
      <c r="K55" s="91">
        <v>131778</v>
      </c>
      <c r="L55" s="91">
        <v>16914</v>
      </c>
      <c r="M55" s="91">
        <v>16914</v>
      </c>
      <c r="N55" s="91"/>
      <c r="O55" s="91"/>
      <c r="P55" s="90">
        <v>4380.1899999999996</v>
      </c>
      <c r="Q55" s="90">
        <v>4380.1899999999996</v>
      </c>
      <c r="R55" s="91">
        <v>17991.14</v>
      </c>
      <c r="S55" s="91">
        <v>17991.14</v>
      </c>
      <c r="T55" s="91">
        <v>14122</v>
      </c>
      <c r="U55" s="91">
        <v>14122</v>
      </c>
      <c r="V55" s="91">
        <v>-188095</v>
      </c>
      <c r="W55" s="91">
        <v>-188095</v>
      </c>
      <c r="X55" s="91">
        <v>192162</v>
      </c>
      <c r="Y55" s="91">
        <v>192162</v>
      </c>
      <c r="Z55" s="91">
        <v>2519</v>
      </c>
      <c r="AA55" s="91">
        <v>1228</v>
      </c>
      <c r="AB55" s="91">
        <v>15933</v>
      </c>
      <c r="AC55" s="91">
        <v>15933</v>
      </c>
      <c r="AD55" s="91">
        <v>12598</v>
      </c>
      <c r="AE55" s="91">
        <v>12598</v>
      </c>
      <c r="AF55" s="91">
        <v>-6156</v>
      </c>
      <c r="AG55" s="91">
        <v>-6156</v>
      </c>
      <c r="AH55" s="91">
        <v>46039.31</v>
      </c>
      <c r="AI55" s="91">
        <v>46039.31</v>
      </c>
      <c r="AJ55" s="91">
        <v>105529</v>
      </c>
      <c r="AK55" s="91">
        <v>105529</v>
      </c>
      <c r="AL55" s="91">
        <v>267985.67</v>
      </c>
      <c r="AM55" s="91">
        <v>267985.67</v>
      </c>
      <c r="AN55" s="91">
        <v>-4285</v>
      </c>
      <c r="AO55" s="91">
        <v>-4285</v>
      </c>
      <c r="AP55" s="91">
        <v>214</v>
      </c>
      <c r="AQ55" s="91">
        <v>214</v>
      </c>
      <c r="AR55" s="91">
        <v>31316</v>
      </c>
      <c r="AS55" s="91">
        <v>31316</v>
      </c>
      <c r="AT55" s="91">
        <v>15891</v>
      </c>
      <c r="AU55" s="91">
        <v>15891</v>
      </c>
      <c r="AV55" s="91">
        <v>68416</v>
      </c>
      <c r="AW55" s="91">
        <v>68416</v>
      </c>
      <c r="AX55" s="91">
        <v>-201</v>
      </c>
      <c r="AY55" s="91">
        <v>393</v>
      </c>
      <c r="AZ55" s="91">
        <v>607135</v>
      </c>
      <c r="BA55" s="91">
        <v>607135</v>
      </c>
      <c r="BB55" s="91">
        <v>82180</v>
      </c>
      <c r="BC55" s="91">
        <v>82180</v>
      </c>
      <c r="BD55" s="91">
        <v>494340</v>
      </c>
      <c r="BE55" s="91">
        <v>494340</v>
      </c>
      <c r="BF55" s="91">
        <v>6618</v>
      </c>
      <c r="BG55" s="91">
        <v>81301</v>
      </c>
      <c r="BH55" s="91">
        <v>294805</v>
      </c>
      <c r="BI55" s="91">
        <v>294805</v>
      </c>
      <c r="BJ55" s="91">
        <v>-8363</v>
      </c>
      <c r="BK55" s="91">
        <v>-8363</v>
      </c>
      <c r="BL55" s="68">
        <f t="shared" si="8"/>
        <v>2382730.31</v>
      </c>
      <c r="BM55" s="68">
        <f t="shared" si="9"/>
        <v>2456716.31</v>
      </c>
    </row>
    <row r="56" spans="1:65" s="7" customFormat="1" x14ac:dyDescent="0.25">
      <c r="A56" s="10" t="s">
        <v>192</v>
      </c>
      <c r="B56" s="10">
        <v>8708</v>
      </c>
      <c r="C56" s="10">
        <v>26457</v>
      </c>
      <c r="D56" s="10">
        <v>34954</v>
      </c>
      <c r="E56" s="10">
        <v>103896</v>
      </c>
      <c r="F56" s="10"/>
      <c r="G56" s="10"/>
      <c r="H56" s="10">
        <v>57833</v>
      </c>
      <c r="I56" s="10">
        <v>194951</v>
      </c>
      <c r="J56" s="10">
        <v>65286</v>
      </c>
      <c r="K56" s="10">
        <v>217898</v>
      </c>
      <c r="L56" s="10">
        <v>7307</v>
      </c>
      <c r="M56" s="10">
        <v>28769</v>
      </c>
      <c r="N56" s="10"/>
      <c r="O56" s="10"/>
      <c r="P56" s="127">
        <v>2273.17</v>
      </c>
      <c r="Q56" s="127">
        <v>9361.2999999999993</v>
      </c>
      <c r="R56" s="10">
        <v>8439.9699999999993</v>
      </c>
      <c r="S56" s="10">
        <v>34449.61</v>
      </c>
      <c r="T56" s="10">
        <v>10147</v>
      </c>
      <c r="U56" s="10">
        <v>30803</v>
      </c>
      <c r="V56" s="10">
        <v>67064</v>
      </c>
      <c r="W56" s="10">
        <v>262962</v>
      </c>
      <c r="X56" s="10">
        <v>78103</v>
      </c>
      <c r="Y56" s="10">
        <v>284437</v>
      </c>
      <c r="Z56" s="10">
        <v>34022</v>
      </c>
      <c r="AA56" s="10">
        <v>21172</v>
      </c>
      <c r="AB56" s="10">
        <v>4335</v>
      </c>
      <c r="AC56" s="10">
        <v>16458</v>
      </c>
      <c r="AD56" s="10">
        <v>5106</v>
      </c>
      <c r="AE56" s="10">
        <v>20167</v>
      </c>
      <c r="AF56" s="10">
        <v>2014</v>
      </c>
      <c r="AG56" s="10">
        <v>8166</v>
      </c>
      <c r="AH56" s="10">
        <v>24342.31</v>
      </c>
      <c r="AI56" s="10">
        <v>81212.81</v>
      </c>
      <c r="AJ56" s="10">
        <v>54812</v>
      </c>
      <c r="AK56" s="10">
        <v>169241</v>
      </c>
      <c r="AL56" s="10">
        <v>112156.98</v>
      </c>
      <c r="AM56" s="10">
        <v>536761.96</v>
      </c>
      <c r="AN56" s="10">
        <v>1169</v>
      </c>
      <c r="AO56" s="10">
        <v>3311</v>
      </c>
      <c r="AP56" s="10">
        <v>111</v>
      </c>
      <c r="AQ56" s="10">
        <v>947</v>
      </c>
      <c r="AR56" s="10">
        <v>20843</v>
      </c>
      <c r="AS56" s="10">
        <v>73956</v>
      </c>
      <c r="AT56" s="10">
        <v>8080</v>
      </c>
      <c r="AU56" s="10">
        <v>30939</v>
      </c>
      <c r="AV56" s="10">
        <v>38589</v>
      </c>
      <c r="AW56" s="10">
        <v>123258</v>
      </c>
      <c r="AX56" s="10">
        <v>240</v>
      </c>
      <c r="AY56" s="10">
        <v>820</v>
      </c>
      <c r="AZ56" s="10">
        <v>256715</v>
      </c>
      <c r="BA56" s="10">
        <v>969195</v>
      </c>
      <c r="BB56" s="10">
        <v>37655</v>
      </c>
      <c r="BC56" s="10">
        <v>107918</v>
      </c>
      <c r="BD56" s="10">
        <v>300106</v>
      </c>
      <c r="BE56" s="10">
        <v>1210934</v>
      </c>
      <c r="BF56" s="10">
        <v>133645</v>
      </c>
      <c r="BG56" s="10">
        <v>549572</v>
      </c>
      <c r="BH56" s="10">
        <v>195435</v>
      </c>
      <c r="BI56" s="10">
        <v>587035</v>
      </c>
      <c r="BJ56" s="10">
        <v>6757</v>
      </c>
      <c r="BK56" s="10">
        <v>25136</v>
      </c>
      <c r="BL56" s="63">
        <f t="shared" si="8"/>
        <v>1576248.4300000002</v>
      </c>
      <c r="BM56" s="63">
        <f t="shared" si="9"/>
        <v>5730183.6799999997</v>
      </c>
    </row>
    <row r="58" spans="1:65" x14ac:dyDescent="0.25">
      <c r="A58" s="23" t="s">
        <v>187</v>
      </c>
    </row>
    <row r="59" spans="1:65" x14ac:dyDescent="0.25">
      <c r="A59" s="1" t="s">
        <v>0</v>
      </c>
      <c r="B59" s="154" t="s">
        <v>1</v>
      </c>
      <c r="C59" s="155"/>
      <c r="D59" s="154" t="s">
        <v>234</v>
      </c>
      <c r="E59" s="155"/>
      <c r="F59" s="154" t="s">
        <v>2</v>
      </c>
      <c r="G59" s="155"/>
      <c r="H59" s="154" t="s">
        <v>3</v>
      </c>
      <c r="I59" s="155"/>
      <c r="J59" s="154" t="s">
        <v>243</v>
      </c>
      <c r="K59" s="155"/>
      <c r="L59" s="154" t="s">
        <v>235</v>
      </c>
      <c r="M59" s="155"/>
      <c r="N59" s="154" t="s">
        <v>5</v>
      </c>
      <c r="O59" s="155"/>
      <c r="P59" s="154" t="s">
        <v>4</v>
      </c>
      <c r="Q59" s="155"/>
      <c r="R59" s="154" t="s">
        <v>6</v>
      </c>
      <c r="S59" s="155"/>
      <c r="T59" s="154" t="s">
        <v>246</v>
      </c>
      <c r="U59" s="155"/>
      <c r="V59" s="154" t="s">
        <v>7</v>
      </c>
      <c r="W59" s="155"/>
      <c r="X59" s="154" t="s">
        <v>8</v>
      </c>
      <c r="Y59" s="155"/>
      <c r="Z59" s="154" t="s">
        <v>9</v>
      </c>
      <c r="AA59" s="155"/>
      <c r="AB59" s="154" t="s">
        <v>242</v>
      </c>
      <c r="AC59" s="155"/>
      <c r="AD59" s="154" t="s">
        <v>10</v>
      </c>
      <c r="AE59" s="155"/>
      <c r="AF59" s="154" t="s">
        <v>11</v>
      </c>
      <c r="AG59" s="155"/>
      <c r="AH59" s="154" t="s">
        <v>236</v>
      </c>
      <c r="AI59" s="155"/>
      <c r="AJ59" s="154" t="s">
        <v>245</v>
      </c>
      <c r="AK59" s="155"/>
      <c r="AL59" s="154" t="s">
        <v>12</v>
      </c>
      <c r="AM59" s="155"/>
      <c r="AN59" s="154" t="s">
        <v>237</v>
      </c>
      <c r="AO59" s="155"/>
      <c r="AP59" s="154" t="s">
        <v>238</v>
      </c>
      <c r="AQ59" s="155"/>
      <c r="AR59" s="154" t="s">
        <v>241</v>
      </c>
      <c r="AS59" s="155"/>
      <c r="AT59" s="154" t="s">
        <v>13</v>
      </c>
      <c r="AU59" s="155"/>
      <c r="AV59" s="154" t="s">
        <v>14</v>
      </c>
      <c r="AW59" s="155"/>
      <c r="AX59" s="154" t="s">
        <v>15</v>
      </c>
      <c r="AY59" s="155"/>
      <c r="AZ59" s="154" t="s">
        <v>16</v>
      </c>
      <c r="BA59" s="155"/>
      <c r="BB59" s="154" t="s">
        <v>17</v>
      </c>
      <c r="BC59" s="155"/>
      <c r="BD59" s="154" t="s">
        <v>239</v>
      </c>
      <c r="BE59" s="155"/>
      <c r="BF59" s="154" t="s">
        <v>240</v>
      </c>
      <c r="BG59" s="155"/>
      <c r="BH59" s="154" t="s">
        <v>18</v>
      </c>
      <c r="BI59" s="155"/>
      <c r="BJ59" s="154" t="s">
        <v>19</v>
      </c>
      <c r="BK59" s="155"/>
      <c r="BL59" s="156" t="s">
        <v>20</v>
      </c>
      <c r="BM59" s="157"/>
    </row>
    <row r="60" spans="1:65" ht="30" x14ac:dyDescent="0.25">
      <c r="A60" s="1"/>
      <c r="B60" s="53" t="s">
        <v>300</v>
      </c>
      <c r="C60" s="54" t="s">
        <v>301</v>
      </c>
      <c r="D60" s="53" t="s">
        <v>300</v>
      </c>
      <c r="E60" s="54" t="s">
        <v>301</v>
      </c>
      <c r="F60" s="53" t="s">
        <v>300</v>
      </c>
      <c r="G60" s="54" t="s">
        <v>301</v>
      </c>
      <c r="H60" s="53" t="s">
        <v>300</v>
      </c>
      <c r="I60" s="54" t="s">
        <v>301</v>
      </c>
      <c r="J60" s="53" t="s">
        <v>300</v>
      </c>
      <c r="K60" s="54" t="s">
        <v>301</v>
      </c>
      <c r="L60" s="53" t="s">
        <v>300</v>
      </c>
      <c r="M60" s="54" t="s">
        <v>301</v>
      </c>
      <c r="N60" s="53" t="s">
        <v>300</v>
      </c>
      <c r="O60" s="54" t="s">
        <v>301</v>
      </c>
      <c r="P60" s="53" t="s">
        <v>300</v>
      </c>
      <c r="Q60" s="54" t="s">
        <v>301</v>
      </c>
      <c r="R60" s="53" t="s">
        <v>300</v>
      </c>
      <c r="S60" s="54" t="s">
        <v>301</v>
      </c>
      <c r="T60" s="53" t="s">
        <v>300</v>
      </c>
      <c r="U60" s="54" t="s">
        <v>301</v>
      </c>
      <c r="V60" s="53" t="s">
        <v>300</v>
      </c>
      <c r="W60" s="54" t="s">
        <v>301</v>
      </c>
      <c r="X60" s="53" t="s">
        <v>300</v>
      </c>
      <c r="Y60" s="54" t="s">
        <v>301</v>
      </c>
      <c r="Z60" s="53" t="s">
        <v>300</v>
      </c>
      <c r="AA60" s="54" t="s">
        <v>301</v>
      </c>
      <c r="AB60" s="53" t="s">
        <v>300</v>
      </c>
      <c r="AC60" s="54" t="s">
        <v>301</v>
      </c>
      <c r="AD60" s="53" t="s">
        <v>300</v>
      </c>
      <c r="AE60" s="54" t="s">
        <v>301</v>
      </c>
      <c r="AF60" s="53" t="s">
        <v>300</v>
      </c>
      <c r="AG60" s="54" t="s">
        <v>301</v>
      </c>
      <c r="AH60" s="53" t="s">
        <v>300</v>
      </c>
      <c r="AI60" s="54" t="s">
        <v>301</v>
      </c>
      <c r="AJ60" s="53" t="s">
        <v>300</v>
      </c>
      <c r="AK60" s="54" t="s">
        <v>301</v>
      </c>
      <c r="AL60" s="53" t="s">
        <v>300</v>
      </c>
      <c r="AM60" s="54" t="s">
        <v>301</v>
      </c>
      <c r="AN60" s="53" t="s">
        <v>300</v>
      </c>
      <c r="AO60" s="54" t="s">
        <v>301</v>
      </c>
      <c r="AP60" s="53" t="s">
        <v>300</v>
      </c>
      <c r="AQ60" s="54" t="s">
        <v>301</v>
      </c>
      <c r="AR60" s="53" t="s">
        <v>300</v>
      </c>
      <c r="AS60" s="54" t="s">
        <v>301</v>
      </c>
      <c r="AT60" s="53" t="s">
        <v>300</v>
      </c>
      <c r="AU60" s="54" t="s">
        <v>301</v>
      </c>
      <c r="AV60" s="53" t="s">
        <v>300</v>
      </c>
      <c r="AW60" s="54" t="s">
        <v>301</v>
      </c>
      <c r="AX60" s="53" t="s">
        <v>300</v>
      </c>
      <c r="AY60" s="54" t="s">
        <v>301</v>
      </c>
      <c r="AZ60" s="53" t="s">
        <v>300</v>
      </c>
      <c r="BA60" s="54" t="s">
        <v>301</v>
      </c>
      <c r="BB60" s="53" t="s">
        <v>300</v>
      </c>
      <c r="BC60" s="54" t="s">
        <v>301</v>
      </c>
      <c r="BD60" s="53" t="s">
        <v>300</v>
      </c>
      <c r="BE60" s="54" t="s">
        <v>301</v>
      </c>
      <c r="BF60" s="53" t="s">
        <v>300</v>
      </c>
      <c r="BG60" s="54" t="s">
        <v>301</v>
      </c>
      <c r="BH60" s="53" t="s">
        <v>300</v>
      </c>
      <c r="BI60" s="54" t="s">
        <v>301</v>
      </c>
      <c r="BJ60" s="53" t="s">
        <v>300</v>
      </c>
      <c r="BK60" s="54" t="s">
        <v>301</v>
      </c>
      <c r="BL60" s="104" t="s">
        <v>300</v>
      </c>
      <c r="BM60" s="105" t="s">
        <v>301</v>
      </c>
    </row>
    <row r="61" spans="1:65" x14ac:dyDescent="0.25">
      <c r="A61" s="91" t="s">
        <v>274</v>
      </c>
      <c r="B61" s="91">
        <v>138</v>
      </c>
      <c r="C61" s="91">
        <v>558</v>
      </c>
      <c r="D61" s="91">
        <v>4251</v>
      </c>
      <c r="E61" s="91">
        <v>14419</v>
      </c>
      <c r="F61" s="76"/>
      <c r="G61" s="76"/>
      <c r="H61" s="91">
        <v>5378</v>
      </c>
      <c r="I61" s="91">
        <v>20208</v>
      </c>
      <c r="J61" s="91">
        <v>13654</v>
      </c>
      <c r="K61" s="91">
        <v>38946</v>
      </c>
      <c r="L61" s="91">
        <v>6550</v>
      </c>
      <c r="M61" s="91">
        <v>24789</v>
      </c>
      <c r="N61" s="76"/>
      <c r="O61" s="76"/>
      <c r="P61" s="90">
        <v>294.70999999999998</v>
      </c>
      <c r="Q61" s="90">
        <v>700.93</v>
      </c>
      <c r="R61" s="91">
        <v>3191.86</v>
      </c>
      <c r="S61" s="91">
        <v>9393.76</v>
      </c>
      <c r="T61" s="91">
        <v>4456</v>
      </c>
      <c r="U61" s="91">
        <v>24328</v>
      </c>
      <c r="V61" s="91">
        <v>15635</v>
      </c>
      <c r="W61" s="91">
        <v>59879</v>
      </c>
      <c r="X61" s="91">
        <v>11202</v>
      </c>
      <c r="Y61" s="91">
        <v>41165</v>
      </c>
      <c r="Z61" s="91">
        <v>2423</v>
      </c>
      <c r="AA61" s="91">
        <v>94048</v>
      </c>
      <c r="AB61" s="91">
        <v>1186</v>
      </c>
      <c r="AC61" s="91">
        <v>3926</v>
      </c>
      <c r="AD61" s="91">
        <v>487</v>
      </c>
      <c r="AE61" s="91">
        <v>2120</v>
      </c>
      <c r="AF61" s="91">
        <v>114</v>
      </c>
      <c r="AG61" s="91">
        <v>546</v>
      </c>
      <c r="AH61" s="91">
        <v>446.1</v>
      </c>
      <c r="AI61" s="91">
        <v>1458.14</v>
      </c>
      <c r="AJ61" s="91">
        <v>2120</v>
      </c>
      <c r="AK61" s="91">
        <v>6076</v>
      </c>
      <c r="AL61" s="91">
        <v>4290.45</v>
      </c>
      <c r="AM61" s="91">
        <v>22635.54</v>
      </c>
      <c r="AN61" s="91">
        <v>181</v>
      </c>
      <c r="AO61" s="91">
        <v>463</v>
      </c>
      <c r="AP61" s="91">
        <v>13</v>
      </c>
      <c r="AQ61" s="91">
        <v>30</v>
      </c>
      <c r="AR61" s="76">
        <v>2920</v>
      </c>
      <c r="AS61" s="76">
        <v>9706</v>
      </c>
      <c r="AT61" s="91">
        <v>1119</v>
      </c>
      <c r="AU61" s="91">
        <v>4592</v>
      </c>
      <c r="AV61" s="91">
        <v>26943</v>
      </c>
      <c r="AW61" s="91">
        <v>86942</v>
      </c>
      <c r="AX61" s="91">
        <v>521</v>
      </c>
      <c r="AY61" s="91">
        <v>2277</v>
      </c>
      <c r="AZ61" s="91">
        <v>6044</v>
      </c>
      <c r="BA61" s="91">
        <v>16893</v>
      </c>
      <c r="BB61" s="91">
        <v>27430</v>
      </c>
      <c r="BC61" s="91">
        <v>37277</v>
      </c>
      <c r="BD61" s="91">
        <v>32683</v>
      </c>
      <c r="BE61" s="91">
        <v>141292</v>
      </c>
      <c r="BF61" s="91">
        <v>5618</v>
      </c>
      <c r="BG61" s="91">
        <v>29043</v>
      </c>
      <c r="BH61" s="91">
        <v>17391</v>
      </c>
      <c r="BI61" s="91">
        <v>50731</v>
      </c>
      <c r="BJ61" s="91">
        <v>2885</v>
      </c>
      <c r="BK61" s="91">
        <v>29983</v>
      </c>
      <c r="BL61" s="68">
        <f t="shared" ref="BL61:BL67" si="10">SUM(B61+D61+F61+H61+J61+L61+N61+P61+R61+T61+V61+X61+Z61+AB61+AD61+AF61+AH61+AJ61+AL61+AN61+AP61+AR61+AT61+AV61+AX61+AZ61+BB61+BD61+BF61+BH61+BJ61)</f>
        <v>199565.12</v>
      </c>
      <c r="BM61" s="68">
        <f t="shared" ref="BM61:BM67" si="11">SUM(C61+E61+G61+I61+K61+M61+O61+Q61+S61+U61+W61+Y61+AA61+AC61+AE61+AG61+AI61+AK61+AM61+AO61+AQ61+AS61+AU61+AW61+AY61+BA61+BC61+BE61+BG61+BI61+BK61)</f>
        <v>774425.37</v>
      </c>
    </row>
    <row r="62" spans="1:65" x14ac:dyDescent="0.25">
      <c r="A62" s="91" t="s">
        <v>275</v>
      </c>
      <c r="B62" s="91"/>
      <c r="C62" s="91"/>
      <c r="D62" s="91"/>
      <c r="E62" s="91"/>
      <c r="F62" s="76"/>
      <c r="G62" s="76"/>
      <c r="H62" s="91"/>
      <c r="I62" s="91">
        <v>1</v>
      </c>
      <c r="J62" s="91"/>
      <c r="K62" s="91"/>
      <c r="L62" s="91"/>
      <c r="M62" s="91"/>
      <c r="N62" s="76"/>
      <c r="O62" s="76"/>
      <c r="P62" s="90"/>
      <c r="Q62" s="90"/>
      <c r="R62" s="91"/>
      <c r="S62" s="91"/>
      <c r="T62" s="91"/>
      <c r="U62" s="91"/>
      <c r="V62" s="91"/>
      <c r="W62" s="91">
        <v>32</v>
      </c>
      <c r="X62" s="91">
        <v>1</v>
      </c>
      <c r="Y62" s="91">
        <v>5</v>
      </c>
      <c r="Z62" s="91">
        <v>60</v>
      </c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76"/>
      <c r="AS62" s="76"/>
      <c r="AT62" s="91">
        <v>42</v>
      </c>
      <c r="AU62" s="91">
        <v>1595</v>
      </c>
      <c r="AV62" s="91">
        <v>1</v>
      </c>
      <c r="AW62" s="91">
        <v>1</v>
      </c>
      <c r="AX62" s="91"/>
      <c r="AY62" s="91"/>
      <c r="AZ62" s="91"/>
      <c r="BA62" s="91"/>
      <c r="BB62" s="91"/>
      <c r="BC62" s="91"/>
      <c r="BD62" s="91">
        <v>100</v>
      </c>
      <c r="BE62" s="91">
        <v>361</v>
      </c>
      <c r="BF62" s="91">
        <v>50</v>
      </c>
      <c r="BG62" s="91">
        <v>3495</v>
      </c>
      <c r="BH62" s="91">
        <v>103</v>
      </c>
      <c r="BI62" s="91">
        <v>103</v>
      </c>
      <c r="BJ62" s="91"/>
      <c r="BK62" s="91"/>
      <c r="BL62" s="68">
        <f t="shared" si="10"/>
        <v>357</v>
      </c>
      <c r="BM62" s="68">
        <f t="shared" si="11"/>
        <v>5593</v>
      </c>
    </row>
    <row r="63" spans="1:65" x14ac:dyDescent="0.25">
      <c r="A63" s="91" t="s">
        <v>276</v>
      </c>
      <c r="B63" s="91">
        <v>17</v>
      </c>
      <c r="C63" s="91">
        <v>60</v>
      </c>
      <c r="D63" s="91">
        <v>180</v>
      </c>
      <c r="E63" s="91">
        <v>1036</v>
      </c>
      <c r="F63" s="76"/>
      <c r="G63" s="76"/>
      <c r="H63" s="91">
        <v>-548</v>
      </c>
      <c r="I63" s="91">
        <v>-1571</v>
      </c>
      <c r="J63" s="91">
        <v>774</v>
      </c>
      <c r="K63" s="91">
        <v>2447</v>
      </c>
      <c r="L63" s="91">
        <v>1770</v>
      </c>
      <c r="M63" s="91">
        <v>7006</v>
      </c>
      <c r="N63" s="76"/>
      <c r="O63" s="76"/>
      <c r="P63" s="90">
        <v>51.74</v>
      </c>
      <c r="Q63" s="90">
        <v>96.24</v>
      </c>
      <c r="R63" s="91">
        <v>475.41</v>
      </c>
      <c r="S63" s="91">
        <v>1345.58</v>
      </c>
      <c r="T63" s="91">
        <v>1196</v>
      </c>
      <c r="U63" s="91">
        <v>10068</v>
      </c>
      <c r="V63" s="91">
        <v>-6968</v>
      </c>
      <c r="W63" s="91">
        <v>-26243</v>
      </c>
      <c r="X63" s="91">
        <v>2418</v>
      </c>
      <c r="Y63" s="91">
        <v>7680</v>
      </c>
      <c r="Z63" s="91">
        <v>166</v>
      </c>
      <c r="AA63" s="91">
        <v>73581</v>
      </c>
      <c r="AB63" s="91">
        <v>207</v>
      </c>
      <c r="AC63" s="91">
        <v>731</v>
      </c>
      <c r="AD63" s="91">
        <v>24</v>
      </c>
      <c r="AE63" s="91">
        <v>150</v>
      </c>
      <c r="AF63" s="91">
        <v>-22</v>
      </c>
      <c r="AG63" s="91">
        <v>-76</v>
      </c>
      <c r="AH63" s="91">
        <v>78.52</v>
      </c>
      <c r="AI63" s="91">
        <v>187.36</v>
      </c>
      <c r="AJ63" s="91">
        <v>512</v>
      </c>
      <c r="AK63" s="91">
        <v>1264</v>
      </c>
      <c r="AL63" s="91">
        <v>258.44</v>
      </c>
      <c r="AM63" s="91">
        <v>1346.2</v>
      </c>
      <c r="AN63" s="91">
        <v>-72</v>
      </c>
      <c r="AO63" s="91">
        <v>-240</v>
      </c>
      <c r="AP63" s="91">
        <v>11</v>
      </c>
      <c r="AQ63" s="91">
        <v>24</v>
      </c>
      <c r="AR63" s="76">
        <v>1368</v>
      </c>
      <c r="AS63" s="76">
        <v>4026</v>
      </c>
      <c r="AT63" s="91">
        <v>390</v>
      </c>
      <c r="AU63" s="91">
        <v>1951</v>
      </c>
      <c r="AV63" s="91">
        <v>10545</v>
      </c>
      <c r="AW63" s="91">
        <v>32279</v>
      </c>
      <c r="AX63" s="91">
        <v>194</v>
      </c>
      <c r="AY63" s="91">
        <v>999</v>
      </c>
      <c r="AZ63" s="91">
        <v>1396</v>
      </c>
      <c r="BA63" s="91">
        <v>5430</v>
      </c>
      <c r="BB63" s="91">
        <v>17907</v>
      </c>
      <c r="BC63" s="91">
        <v>18556</v>
      </c>
      <c r="BD63" s="91">
        <v>1694</v>
      </c>
      <c r="BE63" s="91">
        <v>7184</v>
      </c>
      <c r="BF63" s="91">
        <v>563</v>
      </c>
      <c r="BG63" s="91">
        <v>6040</v>
      </c>
      <c r="BH63" s="91">
        <v>7513</v>
      </c>
      <c r="BI63" s="91">
        <v>25177</v>
      </c>
      <c r="BJ63" s="91">
        <v>228</v>
      </c>
      <c r="BK63" s="91">
        <v>18012</v>
      </c>
      <c r="BL63" s="68">
        <f t="shared" si="10"/>
        <v>42327.11</v>
      </c>
      <c r="BM63" s="68">
        <f t="shared" si="11"/>
        <v>198546.38</v>
      </c>
    </row>
    <row r="64" spans="1:65" s="7" customFormat="1" x14ac:dyDescent="0.25">
      <c r="A64" s="10" t="s">
        <v>277</v>
      </c>
      <c r="B64" s="10">
        <v>121</v>
      </c>
      <c r="C64" s="10">
        <v>498</v>
      </c>
      <c r="D64" s="10">
        <v>4071</v>
      </c>
      <c r="E64" s="10">
        <v>13383</v>
      </c>
      <c r="F64" s="10"/>
      <c r="G64" s="10"/>
      <c r="H64" s="10">
        <v>4830</v>
      </c>
      <c r="I64" s="10">
        <v>18638</v>
      </c>
      <c r="J64" s="10">
        <v>12880</v>
      </c>
      <c r="K64" s="10">
        <v>36499</v>
      </c>
      <c r="L64" s="10">
        <v>4780</v>
      </c>
      <c r="M64" s="10">
        <v>17783</v>
      </c>
      <c r="N64" s="10"/>
      <c r="O64" s="10"/>
      <c r="P64" s="127">
        <v>242.97</v>
      </c>
      <c r="Q64" s="127">
        <v>604.69000000000005</v>
      </c>
      <c r="R64" s="10">
        <v>2716.45</v>
      </c>
      <c r="S64" s="10">
        <v>8048.18</v>
      </c>
      <c r="T64" s="10">
        <v>3260</v>
      </c>
      <c r="U64" s="10">
        <v>14260</v>
      </c>
      <c r="V64" s="10">
        <v>8667</v>
      </c>
      <c r="W64" s="10">
        <v>33668</v>
      </c>
      <c r="X64" s="10">
        <v>8786</v>
      </c>
      <c r="Y64" s="10">
        <v>33490</v>
      </c>
      <c r="Z64" s="10">
        <v>2317</v>
      </c>
      <c r="AA64" s="10">
        <v>20467</v>
      </c>
      <c r="AB64" s="10">
        <v>979</v>
      </c>
      <c r="AC64" s="10">
        <v>3195</v>
      </c>
      <c r="AD64" s="10">
        <v>464</v>
      </c>
      <c r="AE64" s="10">
        <v>1970</v>
      </c>
      <c r="AF64" s="10">
        <v>91</v>
      </c>
      <c r="AG64" s="10">
        <v>470</v>
      </c>
      <c r="AH64" s="10">
        <v>367.57</v>
      </c>
      <c r="AI64" s="10">
        <v>1270.78</v>
      </c>
      <c r="AJ64" s="10">
        <v>1608</v>
      </c>
      <c r="AK64" s="10">
        <v>4812</v>
      </c>
      <c r="AL64" s="10">
        <v>4032.01</v>
      </c>
      <c r="AM64" s="10">
        <v>21289.34</v>
      </c>
      <c r="AN64" s="10">
        <v>109</v>
      </c>
      <c r="AO64" s="10">
        <v>223</v>
      </c>
      <c r="AP64" s="10">
        <v>3</v>
      </c>
      <c r="AQ64" s="10">
        <v>6</v>
      </c>
      <c r="AR64" s="10">
        <v>1552</v>
      </c>
      <c r="AS64" s="10">
        <v>5680</v>
      </c>
      <c r="AT64" s="10">
        <v>771</v>
      </c>
      <c r="AU64" s="10">
        <v>4235</v>
      </c>
      <c r="AV64" s="10">
        <v>16399</v>
      </c>
      <c r="AW64" s="10">
        <v>54664</v>
      </c>
      <c r="AX64" s="10">
        <v>327</v>
      </c>
      <c r="AY64" s="10">
        <v>1278</v>
      </c>
      <c r="AZ64" s="10">
        <v>4648</v>
      </c>
      <c r="BA64" s="10">
        <v>11463</v>
      </c>
      <c r="BB64" s="10">
        <v>9523</v>
      </c>
      <c r="BC64" s="10">
        <v>18721</v>
      </c>
      <c r="BD64" s="10">
        <v>31088</v>
      </c>
      <c r="BE64" s="10">
        <v>134469</v>
      </c>
      <c r="BF64" s="10">
        <v>5104</v>
      </c>
      <c r="BG64" s="10">
        <v>26499</v>
      </c>
      <c r="BH64" s="10">
        <v>9981</v>
      </c>
      <c r="BI64" s="10">
        <v>25656</v>
      </c>
      <c r="BJ64" s="10">
        <v>2658</v>
      </c>
      <c r="BK64" s="10">
        <v>11971</v>
      </c>
      <c r="BL64" s="63">
        <f t="shared" si="10"/>
        <v>142376</v>
      </c>
      <c r="BM64" s="63">
        <f t="shared" si="11"/>
        <v>525210.99</v>
      </c>
    </row>
    <row r="65" spans="1:65" x14ac:dyDescent="0.25">
      <c r="A65" s="91" t="s">
        <v>278</v>
      </c>
      <c r="B65" s="91">
        <v>167</v>
      </c>
      <c r="C65" s="91">
        <v>78</v>
      </c>
      <c r="D65" s="91">
        <v>7191</v>
      </c>
      <c r="E65" s="91">
        <v>6275</v>
      </c>
      <c r="F65" s="91"/>
      <c r="G65" s="91"/>
      <c r="H65" s="91">
        <v>11568</v>
      </c>
      <c r="I65" s="91">
        <v>12785</v>
      </c>
      <c r="J65" s="91">
        <v>15339</v>
      </c>
      <c r="K65" s="91">
        <v>10464</v>
      </c>
      <c r="L65" s="91">
        <v>27210</v>
      </c>
      <c r="M65" s="91">
        <v>28932</v>
      </c>
      <c r="N65" s="91"/>
      <c r="O65" s="91"/>
      <c r="P65" s="90">
        <v>180.44</v>
      </c>
      <c r="Q65" s="90">
        <v>59.76</v>
      </c>
      <c r="R65" s="91">
        <v>3790.66</v>
      </c>
      <c r="S65" s="91">
        <v>3923.81</v>
      </c>
      <c r="T65" s="91">
        <v>8492</v>
      </c>
      <c r="U65" s="91">
        <v>1793</v>
      </c>
      <c r="V65" s="91">
        <v>55818</v>
      </c>
      <c r="W65" s="91">
        <v>63717</v>
      </c>
      <c r="X65" s="91">
        <v>37073</v>
      </c>
      <c r="Y65" s="91">
        <v>41338</v>
      </c>
      <c r="Z65" s="91"/>
      <c r="AA65" s="91">
        <v>1933</v>
      </c>
      <c r="AB65" s="91">
        <v>1996</v>
      </c>
      <c r="AC65" s="91">
        <v>944</v>
      </c>
      <c r="AD65" s="91">
        <v>839</v>
      </c>
      <c r="AE65" s="91">
        <v>867</v>
      </c>
      <c r="AF65" s="91">
        <v>246</v>
      </c>
      <c r="AG65" s="91">
        <v>204</v>
      </c>
      <c r="AH65" s="91">
        <v>653.73</v>
      </c>
      <c r="AI65" s="91">
        <v>442.75</v>
      </c>
      <c r="AJ65" s="91">
        <v>3192</v>
      </c>
      <c r="AK65" s="91">
        <v>3789</v>
      </c>
      <c r="AL65" s="91">
        <v>10351.57</v>
      </c>
      <c r="AM65" s="91">
        <v>9668.69</v>
      </c>
      <c r="AN65" s="91">
        <v>851</v>
      </c>
      <c r="AO65" s="91">
        <v>1025</v>
      </c>
      <c r="AP65" s="91">
        <v>2</v>
      </c>
      <c r="AQ65" s="91">
        <v>49</v>
      </c>
      <c r="AR65" s="91">
        <v>5031</v>
      </c>
      <c r="AS65" s="91">
        <v>4374</v>
      </c>
      <c r="AT65" s="91">
        <v>2100</v>
      </c>
      <c r="AU65" s="91">
        <v>2086</v>
      </c>
      <c r="AV65" s="91">
        <v>32273</v>
      </c>
      <c r="AW65" s="91">
        <v>49479</v>
      </c>
      <c r="AX65" s="91"/>
      <c r="AY65" s="91">
        <v>273</v>
      </c>
      <c r="AZ65" s="91">
        <v>10899</v>
      </c>
      <c r="BA65" s="91">
        <v>10401</v>
      </c>
      <c r="BB65" s="91">
        <v>6479</v>
      </c>
      <c r="BC65" s="91">
        <v>6950</v>
      </c>
      <c r="BD65" s="91">
        <v>18337</v>
      </c>
      <c r="BE65" s="91">
        <v>16644</v>
      </c>
      <c r="BF65" s="91">
        <v>0</v>
      </c>
      <c r="BG65" s="91">
        <v>0</v>
      </c>
      <c r="BH65" s="91">
        <v>10317</v>
      </c>
      <c r="BI65" s="91">
        <v>9919</v>
      </c>
      <c r="BJ65" s="91">
        <v>4976</v>
      </c>
      <c r="BK65" s="91">
        <v>1817</v>
      </c>
      <c r="BL65" s="68">
        <f t="shared" si="10"/>
        <v>275372.40000000002</v>
      </c>
      <c r="BM65" s="68">
        <f t="shared" si="11"/>
        <v>290231.01</v>
      </c>
    </row>
    <row r="66" spans="1:65" x14ac:dyDescent="0.25">
      <c r="A66" s="2" t="s">
        <v>279</v>
      </c>
      <c r="B66" s="91">
        <v>177</v>
      </c>
      <c r="C66" s="91">
        <v>177</v>
      </c>
      <c r="D66" s="91">
        <v>6667</v>
      </c>
      <c r="E66" s="91">
        <v>6667</v>
      </c>
      <c r="F66" s="91"/>
      <c r="G66" s="91"/>
      <c r="H66" s="91">
        <v>11789</v>
      </c>
      <c r="I66" s="91">
        <v>11789</v>
      </c>
      <c r="J66" s="91">
        <v>18193</v>
      </c>
      <c r="K66" s="91">
        <v>18193</v>
      </c>
      <c r="L66" s="91">
        <v>27138</v>
      </c>
      <c r="M66" s="91">
        <v>27138</v>
      </c>
      <c r="N66" s="91"/>
      <c r="O66" s="91"/>
      <c r="P66" s="90">
        <v>327.10000000000002</v>
      </c>
      <c r="Q66" s="90">
        <v>327.10000000000002</v>
      </c>
      <c r="R66" s="91">
        <v>4625.16</v>
      </c>
      <c r="S66" s="91">
        <v>4625.16</v>
      </c>
      <c r="T66" s="91">
        <v>8781</v>
      </c>
      <c r="U66" s="91">
        <v>8781</v>
      </c>
      <c r="V66" s="91">
        <v>-54528</v>
      </c>
      <c r="W66" s="91">
        <v>-54528</v>
      </c>
      <c r="X66" s="91">
        <v>35618</v>
      </c>
      <c r="Y66" s="91">
        <v>35618</v>
      </c>
      <c r="Z66" s="91">
        <v>-517</v>
      </c>
      <c r="AA66" s="91">
        <v>1228</v>
      </c>
      <c r="AB66" s="91">
        <v>2361</v>
      </c>
      <c r="AC66" s="91">
        <v>2361</v>
      </c>
      <c r="AD66" s="91">
        <v>828</v>
      </c>
      <c r="AE66" s="91">
        <v>828</v>
      </c>
      <c r="AF66" s="91">
        <v>-223</v>
      </c>
      <c r="AG66" s="91">
        <v>-223</v>
      </c>
      <c r="AH66" s="91">
        <v>643.54999999999995</v>
      </c>
      <c r="AI66" s="91">
        <v>643.54999999999995</v>
      </c>
      <c r="AJ66" s="91">
        <v>2595</v>
      </c>
      <c r="AK66" s="91">
        <v>2595</v>
      </c>
      <c r="AL66" s="91">
        <v>10442.92</v>
      </c>
      <c r="AM66" s="91">
        <v>10442.92</v>
      </c>
      <c r="AN66" s="91">
        <v>-862</v>
      </c>
      <c r="AO66" s="91">
        <v>-862</v>
      </c>
      <c r="AP66" s="91">
        <v>3</v>
      </c>
      <c r="AQ66" s="91">
        <v>3</v>
      </c>
      <c r="AR66" s="91">
        <v>5227</v>
      </c>
      <c r="AS66" s="91">
        <v>5227</v>
      </c>
      <c r="AT66" s="91">
        <v>1951</v>
      </c>
      <c r="AU66" s="91">
        <v>1951</v>
      </c>
      <c r="AV66" s="91">
        <v>33961</v>
      </c>
      <c r="AW66" s="91">
        <v>33961</v>
      </c>
      <c r="AX66" s="91">
        <v>77</v>
      </c>
      <c r="AY66" s="91">
        <v>667</v>
      </c>
      <c r="AZ66" s="91">
        <v>10148</v>
      </c>
      <c r="BA66" s="91">
        <v>10148</v>
      </c>
      <c r="BB66" s="91">
        <v>10037</v>
      </c>
      <c r="BC66" s="91">
        <v>10037</v>
      </c>
      <c r="BD66" s="91">
        <v>20592</v>
      </c>
      <c r="BE66" s="91">
        <v>20592</v>
      </c>
      <c r="BF66" s="91">
        <v>-944</v>
      </c>
      <c r="BG66" s="91">
        <v>2238</v>
      </c>
      <c r="BH66" s="91">
        <v>12828</v>
      </c>
      <c r="BI66" s="91">
        <v>12828</v>
      </c>
      <c r="BJ66" s="91">
        <v>-4386</v>
      </c>
      <c r="BK66" s="91">
        <v>-4386</v>
      </c>
      <c r="BL66" s="68">
        <f t="shared" si="10"/>
        <v>163549.72999999998</v>
      </c>
      <c r="BM66" s="68">
        <f t="shared" si="11"/>
        <v>169066.72999999998</v>
      </c>
    </row>
    <row r="67" spans="1:65" s="7" customFormat="1" x14ac:dyDescent="0.25">
      <c r="A67" s="10" t="s">
        <v>192</v>
      </c>
      <c r="B67" s="10">
        <v>111</v>
      </c>
      <c r="C67" s="10">
        <v>399</v>
      </c>
      <c r="D67" s="10">
        <v>4595</v>
      </c>
      <c r="E67" s="10">
        <v>12991</v>
      </c>
      <c r="F67" s="10"/>
      <c r="G67" s="10"/>
      <c r="H67" s="10">
        <v>4608</v>
      </c>
      <c r="I67" s="10">
        <v>19633</v>
      </c>
      <c r="J67" s="10">
        <v>10026</v>
      </c>
      <c r="K67" s="10">
        <v>28770</v>
      </c>
      <c r="L67" s="10">
        <v>4851</v>
      </c>
      <c r="M67" s="10">
        <v>19577</v>
      </c>
      <c r="N67" s="10"/>
      <c r="O67" s="10"/>
      <c r="P67" s="127">
        <v>96.31</v>
      </c>
      <c r="Q67" s="127">
        <v>337.35</v>
      </c>
      <c r="R67" s="10">
        <v>1881.95</v>
      </c>
      <c r="S67" s="10">
        <v>7346.82</v>
      </c>
      <c r="T67" s="10">
        <v>2971</v>
      </c>
      <c r="U67" s="10">
        <v>7272</v>
      </c>
      <c r="V67" s="10">
        <v>9956</v>
      </c>
      <c r="W67" s="10">
        <v>42858</v>
      </c>
      <c r="X67" s="10">
        <v>10240</v>
      </c>
      <c r="Y67" s="10">
        <v>43025</v>
      </c>
      <c r="Z67" s="10">
        <v>2834</v>
      </c>
      <c r="AA67" s="10">
        <v>21172</v>
      </c>
      <c r="AB67" s="10">
        <v>614</v>
      </c>
      <c r="AC67" s="10">
        <v>1778</v>
      </c>
      <c r="AD67" s="10">
        <v>475</v>
      </c>
      <c r="AE67" s="10">
        <v>2009</v>
      </c>
      <c r="AF67" s="10">
        <v>114</v>
      </c>
      <c r="AG67" s="10">
        <v>451</v>
      </c>
      <c r="AH67" s="10">
        <v>377.75</v>
      </c>
      <c r="AI67" s="10">
        <v>1070</v>
      </c>
      <c r="AJ67" s="10">
        <v>2205</v>
      </c>
      <c r="AK67" s="10">
        <v>6006</v>
      </c>
      <c r="AL67" s="10">
        <v>3940.67</v>
      </c>
      <c r="AM67" s="10">
        <v>20515.11</v>
      </c>
      <c r="AN67" s="10">
        <v>98</v>
      </c>
      <c r="AO67" s="10">
        <v>386</v>
      </c>
      <c r="AP67" s="10">
        <v>1</v>
      </c>
      <c r="AQ67" s="10">
        <v>52</v>
      </c>
      <c r="AR67" s="10">
        <v>1356</v>
      </c>
      <c r="AS67" s="10">
        <v>4828</v>
      </c>
      <c r="AT67" s="10">
        <v>920</v>
      </c>
      <c r="AU67" s="10">
        <v>4370</v>
      </c>
      <c r="AV67" s="10">
        <v>14710</v>
      </c>
      <c r="AW67" s="10">
        <v>70182</v>
      </c>
      <c r="AX67" s="10">
        <v>250</v>
      </c>
      <c r="AY67" s="10">
        <v>884</v>
      </c>
      <c r="AZ67" s="10">
        <v>5399</v>
      </c>
      <c r="BA67" s="10">
        <v>11716</v>
      </c>
      <c r="BB67" s="10">
        <v>5965</v>
      </c>
      <c r="BC67" s="10">
        <v>15634</v>
      </c>
      <c r="BD67" s="10">
        <v>28833</v>
      </c>
      <c r="BE67" s="10">
        <v>130521</v>
      </c>
      <c r="BF67" s="10">
        <v>6049</v>
      </c>
      <c r="BG67" s="10">
        <v>24261</v>
      </c>
      <c r="BH67" s="10">
        <v>7470</v>
      </c>
      <c r="BI67" s="10">
        <v>22747</v>
      </c>
      <c r="BJ67" s="10">
        <v>3247</v>
      </c>
      <c r="BK67" s="10">
        <v>9402</v>
      </c>
      <c r="BL67" s="63">
        <f t="shared" si="10"/>
        <v>134194.68</v>
      </c>
      <c r="BM67" s="63">
        <f t="shared" si="11"/>
        <v>530193.28</v>
      </c>
    </row>
    <row r="69" spans="1:65" x14ac:dyDescent="0.25">
      <c r="A69" s="23" t="s">
        <v>244</v>
      </c>
    </row>
    <row r="70" spans="1:65" x14ac:dyDescent="0.25">
      <c r="A70" s="1" t="s">
        <v>0</v>
      </c>
      <c r="B70" s="154" t="s">
        <v>1</v>
      </c>
      <c r="C70" s="155"/>
      <c r="D70" s="154" t="s">
        <v>234</v>
      </c>
      <c r="E70" s="155"/>
      <c r="F70" s="154" t="s">
        <v>2</v>
      </c>
      <c r="G70" s="155"/>
      <c r="H70" s="154" t="s">
        <v>3</v>
      </c>
      <c r="I70" s="155"/>
      <c r="J70" s="154" t="s">
        <v>243</v>
      </c>
      <c r="K70" s="155"/>
      <c r="L70" s="154" t="s">
        <v>235</v>
      </c>
      <c r="M70" s="155"/>
      <c r="N70" s="154" t="s">
        <v>5</v>
      </c>
      <c r="O70" s="155"/>
      <c r="P70" s="154" t="s">
        <v>4</v>
      </c>
      <c r="Q70" s="155"/>
      <c r="R70" s="154" t="s">
        <v>6</v>
      </c>
      <c r="S70" s="155"/>
      <c r="T70" s="154" t="s">
        <v>246</v>
      </c>
      <c r="U70" s="155"/>
      <c r="V70" s="154" t="s">
        <v>7</v>
      </c>
      <c r="W70" s="155"/>
      <c r="X70" s="154" t="s">
        <v>8</v>
      </c>
      <c r="Y70" s="155"/>
      <c r="Z70" s="154" t="s">
        <v>9</v>
      </c>
      <c r="AA70" s="155"/>
      <c r="AB70" s="154" t="s">
        <v>242</v>
      </c>
      <c r="AC70" s="155"/>
      <c r="AD70" s="154" t="s">
        <v>10</v>
      </c>
      <c r="AE70" s="155"/>
      <c r="AF70" s="154" t="s">
        <v>11</v>
      </c>
      <c r="AG70" s="155"/>
      <c r="AH70" s="154" t="s">
        <v>236</v>
      </c>
      <c r="AI70" s="155"/>
      <c r="AJ70" s="154" t="s">
        <v>245</v>
      </c>
      <c r="AK70" s="155"/>
      <c r="AL70" s="154" t="s">
        <v>12</v>
      </c>
      <c r="AM70" s="155"/>
      <c r="AN70" s="154" t="s">
        <v>237</v>
      </c>
      <c r="AO70" s="155"/>
      <c r="AP70" s="154" t="s">
        <v>238</v>
      </c>
      <c r="AQ70" s="155"/>
      <c r="AR70" s="154" t="s">
        <v>241</v>
      </c>
      <c r="AS70" s="155"/>
      <c r="AT70" s="154" t="s">
        <v>13</v>
      </c>
      <c r="AU70" s="155"/>
      <c r="AV70" s="154" t="s">
        <v>14</v>
      </c>
      <c r="AW70" s="155"/>
      <c r="AX70" s="154" t="s">
        <v>15</v>
      </c>
      <c r="AY70" s="155"/>
      <c r="AZ70" s="154" t="s">
        <v>16</v>
      </c>
      <c r="BA70" s="155"/>
      <c r="BB70" s="154" t="s">
        <v>17</v>
      </c>
      <c r="BC70" s="155"/>
      <c r="BD70" s="154" t="s">
        <v>239</v>
      </c>
      <c r="BE70" s="155"/>
      <c r="BF70" s="154" t="s">
        <v>240</v>
      </c>
      <c r="BG70" s="155"/>
      <c r="BH70" s="154" t="s">
        <v>18</v>
      </c>
      <c r="BI70" s="155"/>
      <c r="BJ70" s="154" t="s">
        <v>19</v>
      </c>
      <c r="BK70" s="155"/>
      <c r="BL70" s="156" t="s">
        <v>20</v>
      </c>
      <c r="BM70" s="157"/>
    </row>
    <row r="71" spans="1:65" ht="30" x14ac:dyDescent="0.25">
      <c r="A71" s="1"/>
      <c r="B71" s="53" t="s">
        <v>300</v>
      </c>
      <c r="C71" s="54" t="s">
        <v>301</v>
      </c>
      <c r="D71" s="53" t="s">
        <v>300</v>
      </c>
      <c r="E71" s="54" t="s">
        <v>301</v>
      </c>
      <c r="F71" s="53" t="s">
        <v>300</v>
      </c>
      <c r="G71" s="54" t="s">
        <v>301</v>
      </c>
      <c r="H71" s="53" t="s">
        <v>300</v>
      </c>
      <c r="I71" s="54" t="s">
        <v>301</v>
      </c>
      <c r="J71" s="53" t="s">
        <v>300</v>
      </c>
      <c r="K71" s="54" t="s">
        <v>301</v>
      </c>
      <c r="L71" s="53" t="s">
        <v>300</v>
      </c>
      <c r="M71" s="54" t="s">
        <v>301</v>
      </c>
      <c r="N71" s="53" t="s">
        <v>300</v>
      </c>
      <c r="O71" s="54" t="s">
        <v>301</v>
      </c>
      <c r="P71" s="53" t="s">
        <v>300</v>
      </c>
      <c r="Q71" s="54" t="s">
        <v>301</v>
      </c>
      <c r="R71" s="53" t="s">
        <v>300</v>
      </c>
      <c r="S71" s="54" t="s">
        <v>301</v>
      </c>
      <c r="T71" s="53" t="s">
        <v>300</v>
      </c>
      <c r="U71" s="54" t="s">
        <v>301</v>
      </c>
      <c r="V71" s="53" t="s">
        <v>300</v>
      </c>
      <c r="W71" s="54" t="s">
        <v>301</v>
      </c>
      <c r="X71" s="53" t="s">
        <v>300</v>
      </c>
      <c r="Y71" s="54" t="s">
        <v>301</v>
      </c>
      <c r="Z71" s="53" t="s">
        <v>300</v>
      </c>
      <c r="AA71" s="54" t="s">
        <v>301</v>
      </c>
      <c r="AB71" s="53" t="s">
        <v>300</v>
      </c>
      <c r="AC71" s="54" t="s">
        <v>301</v>
      </c>
      <c r="AD71" s="53" t="s">
        <v>300</v>
      </c>
      <c r="AE71" s="54" t="s">
        <v>301</v>
      </c>
      <c r="AF71" s="53" t="s">
        <v>300</v>
      </c>
      <c r="AG71" s="54" t="s">
        <v>301</v>
      </c>
      <c r="AH71" s="53" t="s">
        <v>300</v>
      </c>
      <c r="AI71" s="54" t="s">
        <v>301</v>
      </c>
      <c r="AJ71" s="53" t="s">
        <v>300</v>
      </c>
      <c r="AK71" s="54" t="s">
        <v>301</v>
      </c>
      <c r="AL71" s="53" t="s">
        <v>300</v>
      </c>
      <c r="AM71" s="54" t="s">
        <v>301</v>
      </c>
      <c r="AN71" s="53" t="s">
        <v>300</v>
      </c>
      <c r="AO71" s="54" t="s">
        <v>301</v>
      </c>
      <c r="AP71" s="53" t="s">
        <v>300</v>
      </c>
      <c r="AQ71" s="54" t="s">
        <v>301</v>
      </c>
      <c r="AR71" s="53" t="s">
        <v>300</v>
      </c>
      <c r="AS71" s="54" t="s">
        <v>301</v>
      </c>
      <c r="AT71" s="53" t="s">
        <v>300</v>
      </c>
      <c r="AU71" s="54" t="s">
        <v>301</v>
      </c>
      <c r="AV71" s="53" t="s">
        <v>300</v>
      </c>
      <c r="AW71" s="54" t="s">
        <v>301</v>
      </c>
      <c r="AX71" s="53" t="s">
        <v>300</v>
      </c>
      <c r="AY71" s="54" t="s">
        <v>301</v>
      </c>
      <c r="AZ71" s="53" t="s">
        <v>300</v>
      </c>
      <c r="BA71" s="54" t="s">
        <v>301</v>
      </c>
      <c r="BB71" s="53" t="s">
        <v>300</v>
      </c>
      <c r="BC71" s="54" t="s">
        <v>301</v>
      </c>
      <c r="BD71" s="53" t="s">
        <v>300</v>
      </c>
      <c r="BE71" s="54" t="s">
        <v>301</v>
      </c>
      <c r="BF71" s="53" t="s">
        <v>300</v>
      </c>
      <c r="BG71" s="54" t="s">
        <v>301</v>
      </c>
      <c r="BH71" s="53" t="s">
        <v>300</v>
      </c>
      <c r="BI71" s="54" t="s">
        <v>301</v>
      </c>
      <c r="BJ71" s="53" t="s">
        <v>300</v>
      </c>
      <c r="BK71" s="54" t="s">
        <v>301</v>
      </c>
      <c r="BL71" s="104" t="s">
        <v>300</v>
      </c>
      <c r="BM71" s="105" t="s">
        <v>301</v>
      </c>
    </row>
    <row r="72" spans="1:65" x14ac:dyDescent="0.25">
      <c r="A72" s="91" t="s">
        <v>274</v>
      </c>
      <c r="B72" s="76"/>
      <c r="C72" s="76"/>
      <c r="D72" s="76"/>
      <c r="E72" s="76"/>
      <c r="F72" s="91">
        <v>406809</v>
      </c>
      <c r="G72" s="91">
        <v>1394021</v>
      </c>
      <c r="H72" s="91">
        <v>35216</v>
      </c>
      <c r="I72" s="91">
        <v>208129</v>
      </c>
      <c r="J72" s="76"/>
      <c r="K72" s="76"/>
      <c r="L72" s="91">
        <v>172</v>
      </c>
      <c r="M72" s="91">
        <v>172</v>
      </c>
      <c r="N72" s="76"/>
      <c r="O72" s="76"/>
      <c r="P72" s="76"/>
      <c r="Q72" s="76"/>
      <c r="R72" s="91">
        <v>25740</v>
      </c>
      <c r="S72" s="91">
        <v>91830.54</v>
      </c>
      <c r="T72" s="91"/>
      <c r="U72" s="91"/>
      <c r="V72" s="91">
        <v>81736</v>
      </c>
      <c r="W72" s="91">
        <v>271197</v>
      </c>
      <c r="X72" s="91">
        <v>1075</v>
      </c>
      <c r="Y72" s="91">
        <v>66636</v>
      </c>
      <c r="Z72" s="91">
        <v>15601</v>
      </c>
      <c r="AA72" s="91">
        <v>94048</v>
      </c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91">
        <v>6811.16</v>
      </c>
      <c r="AM72" s="91">
        <v>13725.83</v>
      </c>
      <c r="AN72" s="76"/>
      <c r="AO72" s="76"/>
      <c r="AP72" s="76"/>
      <c r="AQ72" s="76"/>
      <c r="AR72" s="76">
        <v>53970</v>
      </c>
      <c r="AS72" s="76">
        <v>307846</v>
      </c>
      <c r="AT72" s="76"/>
      <c r="AU72" s="76"/>
      <c r="AV72" s="91">
        <v>77766</v>
      </c>
      <c r="AW72" s="91">
        <v>220919</v>
      </c>
      <c r="AX72" s="76"/>
      <c r="AY72" s="76"/>
      <c r="AZ72" s="76"/>
      <c r="BA72" s="76"/>
      <c r="BB72" s="91">
        <v>28</v>
      </c>
      <c r="BC72" s="91">
        <v>414</v>
      </c>
      <c r="BD72" s="91">
        <v>25995</v>
      </c>
      <c r="BE72" s="91">
        <v>92804</v>
      </c>
      <c r="BF72" s="91">
        <v>25805</v>
      </c>
      <c r="BG72" s="91">
        <v>60607</v>
      </c>
      <c r="BH72" s="91">
        <v>6387</v>
      </c>
      <c r="BI72" s="91">
        <v>4050</v>
      </c>
      <c r="BJ72" s="91">
        <v>31832</v>
      </c>
      <c r="BK72" s="91">
        <v>122733</v>
      </c>
      <c r="BL72" s="68">
        <f t="shared" ref="BL72:BL78" si="12">SUM(B72+D72+F72+H72+J72+L72+N72+P72+R72+T72+V72+X72+Z72+AB72+AD72+AF72+AH72+AJ72+AL72+AN72+AP72+AR72+AT72+AV72+AX72+AZ72+BB72+BD72+BF72+BH72+BJ72)</f>
        <v>794943.16</v>
      </c>
      <c r="BM72" s="68">
        <f t="shared" ref="BM72:BM78" si="13">SUM(C72+E72+G72+I72+K72+M72+O72+Q72+S72+U72+W72+Y72+AA72+AC72+AE72+AG72+AI72+AK72+AM72+AO72+AQ72+AS72+AU72+AW72+AY72+BA72+BC72+BE72+BG72+BI72+BK72)</f>
        <v>2949132.37</v>
      </c>
    </row>
    <row r="73" spans="1:65" x14ac:dyDescent="0.25">
      <c r="A73" s="91" t="s">
        <v>275</v>
      </c>
      <c r="B73" s="76"/>
      <c r="C73" s="76"/>
      <c r="D73" s="76"/>
      <c r="E73" s="76"/>
      <c r="F73" s="91">
        <v>3</v>
      </c>
      <c r="G73" s="91">
        <v>3</v>
      </c>
      <c r="H73" s="91"/>
      <c r="I73" s="91"/>
      <c r="J73" s="76"/>
      <c r="K73" s="76"/>
      <c r="L73" s="91"/>
      <c r="M73" s="91"/>
      <c r="N73" s="76"/>
      <c r="O73" s="76"/>
      <c r="P73" s="76"/>
      <c r="Q73" s="76"/>
      <c r="R73" s="91"/>
      <c r="S73" s="91"/>
      <c r="T73" s="91">
        <v>65</v>
      </c>
      <c r="U73" s="91">
        <v>1259</v>
      </c>
      <c r="V73" s="91"/>
      <c r="W73" s="91"/>
      <c r="X73" s="91"/>
      <c r="Y73" s="91"/>
      <c r="Z73" s="91"/>
      <c r="AA73" s="91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91"/>
      <c r="AM73" s="91"/>
      <c r="AN73" s="76"/>
      <c r="AO73" s="76"/>
      <c r="AP73" s="76"/>
      <c r="AQ73" s="76"/>
      <c r="AR73" s="76"/>
      <c r="AS73" s="76"/>
      <c r="AT73" s="76"/>
      <c r="AU73" s="76"/>
      <c r="AV73" s="91"/>
      <c r="AW73" s="91"/>
      <c r="AX73" s="76"/>
      <c r="AY73" s="76"/>
      <c r="AZ73" s="76"/>
      <c r="BA73" s="76"/>
      <c r="BB73" s="91"/>
      <c r="BC73" s="91"/>
      <c r="BD73" s="91">
        <v>0</v>
      </c>
      <c r="BE73" s="91">
        <v>-5</v>
      </c>
      <c r="BF73" s="91">
        <v>0</v>
      </c>
      <c r="BG73" s="91">
        <v>40</v>
      </c>
      <c r="BH73" s="91"/>
      <c r="BI73" s="91"/>
      <c r="BJ73" s="91"/>
      <c r="BK73" s="91"/>
      <c r="BL73" s="68">
        <f t="shared" si="12"/>
        <v>68</v>
      </c>
      <c r="BM73" s="68">
        <f t="shared" si="13"/>
        <v>1297</v>
      </c>
    </row>
    <row r="74" spans="1:65" x14ac:dyDescent="0.25">
      <c r="A74" s="91" t="s">
        <v>276</v>
      </c>
      <c r="B74" s="76"/>
      <c r="C74" s="76"/>
      <c r="D74" s="76"/>
      <c r="E74" s="76"/>
      <c r="F74" s="91">
        <v>198740</v>
      </c>
      <c r="G74" s="91">
        <v>702742</v>
      </c>
      <c r="H74" s="91">
        <v>-28656</v>
      </c>
      <c r="I74" s="91">
        <v>-169360</v>
      </c>
      <c r="J74" s="76"/>
      <c r="K74" s="76"/>
      <c r="L74" s="91">
        <v>149</v>
      </c>
      <c r="M74" s="91">
        <v>149</v>
      </c>
      <c r="N74" s="76"/>
      <c r="O74" s="76"/>
      <c r="P74" s="76"/>
      <c r="Q74" s="76"/>
      <c r="R74" s="91">
        <v>20577.23</v>
      </c>
      <c r="S74" s="91">
        <v>73410.03</v>
      </c>
      <c r="T74" s="91">
        <v>-14</v>
      </c>
      <c r="U74" s="91">
        <v>495</v>
      </c>
      <c r="V74" s="91">
        <v>-63305</v>
      </c>
      <c r="W74" s="91">
        <v>-210293</v>
      </c>
      <c r="X74" s="91">
        <v>1193</v>
      </c>
      <c r="Y74" s="91">
        <v>55246</v>
      </c>
      <c r="Z74" s="91">
        <v>12207</v>
      </c>
      <c r="AA74" s="91">
        <v>73581</v>
      </c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91">
        <v>-23599.72</v>
      </c>
      <c r="AM74" s="91">
        <v>-21978.02</v>
      </c>
      <c r="AN74" s="76"/>
      <c r="AO74" s="76"/>
      <c r="AP74" s="76"/>
      <c r="AQ74" s="76"/>
      <c r="AR74" s="76">
        <v>38980</v>
      </c>
      <c r="AS74" s="76">
        <v>200545</v>
      </c>
      <c r="AT74" s="76"/>
      <c r="AU74" s="76"/>
      <c r="AV74" s="91">
        <v>63291</v>
      </c>
      <c r="AW74" s="91">
        <v>179392</v>
      </c>
      <c r="AX74" s="76"/>
      <c r="AY74" s="76"/>
      <c r="AZ74" s="76"/>
      <c r="BA74" s="76"/>
      <c r="BB74" s="91">
        <v>3</v>
      </c>
      <c r="BC74" s="91">
        <v>353</v>
      </c>
      <c r="BD74" s="91">
        <v>-5147</v>
      </c>
      <c r="BE74" s="91">
        <v>-1674</v>
      </c>
      <c r="BF74" s="91">
        <v>337</v>
      </c>
      <c r="BG74" s="91">
        <v>2300</v>
      </c>
      <c r="BH74" s="91">
        <v>3847</v>
      </c>
      <c r="BI74" s="91">
        <v>1217</v>
      </c>
      <c r="BJ74" s="91">
        <v>26030</v>
      </c>
      <c r="BK74" s="91">
        <v>98879</v>
      </c>
      <c r="BL74" s="68">
        <f t="shared" si="12"/>
        <v>244632.51</v>
      </c>
      <c r="BM74" s="68">
        <f t="shared" si="13"/>
        <v>985004.01</v>
      </c>
    </row>
    <row r="75" spans="1:65" s="7" customFormat="1" x14ac:dyDescent="0.25">
      <c r="A75" s="10" t="s">
        <v>277</v>
      </c>
      <c r="B75" s="10"/>
      <c r="C75" s="10"/>
      <c r="D75" s="10"/>
      <c r="E75" s="10"/>
      <c r="F75" s="10">
        <v>208072</v>
      </c>
      <c r="G75" s="10">
        <v>691281</v>
      </c>
      <c r="H75" s="10">
        <v>6560</v>
      </c>
      <c r="I75" s="10">
        <v>38769</v>
      </c>
      <c r="J75" s="10"/>
      <c r="K75" s="10"/>
      <c r="L75" s="10">
        <v>23</v>
      </c>
      <c r="M75" s="10">
        <v>23</v>
      </c>
      <c r="N75" s="10"/>
      <c r="O75" s="10"/>
      <c r="P75" s="10"/>
      <c r="Q75" s="10"/>
      <c r="R75" s="10">
        <v>5162.7700000000004</v>
      </c>
      <c r="S75" s="10">
        <v>18420.509999999998</v>
      </c>
      <c r="T75" s="10">
        <v>79</v>
      </c>
      <c r="U75" s="10">
        <v>764</v>
      </c>
      <c r="V75" s="10">
        <v>18430</v>
      </c>
      <c r="W75" s="10">
        <v>60905</v>
      </c>
      <c r="X75" s="10">
        <v>-118</v>
      </c>
      <c r="Y75" s="10">
        <v>11390</v>
      </c>
      <c r="Z75" s="10">
        <v>3394</v>
      </c>
      <c r="AA75" s="10">
        <v>20467</v>
      </c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>
        <v>30410.880000000001</v>
      </c>
      <c r="AM75" s="10">
        <v>35703.839999999997</v>
      </c>
      <c r="AN75" s="10"/>
      <c r="AO75" s="10"/>
      <c r="AP75" s="10"/>
      <c r="AQ75" s="10"/>
      <c r="AR75" s="10">
        <v>14990</v>
      </c>
      <c r="AS75" s="10">
        <v>107301</v>
      </c>
      <c r="AT75" s="10"/>
      <c r="AU75" s="10"/>
      <c r="AV75" s="10">
        <v>14475</v>
      </c>
      <c r="AW75" s="10">
        <v>41527</v>
      </c>
      <c r="AX75" s="10"/>
      <c r="AY75" s="10"/>
      <c r="AZ75" s="10"/>
      <c r="BA75" s="10"/>
      <c r="BB75" s="10">
        <v>25</v>
      </c>
      <c r="BC75" s="10">
        <v>62</v>
      </c>
      <c r="BD75" s="10">
        <v>31142</v>
      </c>
      <c r="BE75" s="10">
        <v>94473</v>
      </c>
      <c r="BF75" s="10">
        <v>25468</v>
      </c>
      <c r="BG75" s="10">
        <v>58347</v>
      </c>
      <c r="BH75" s="10">
        <v>2541</v>
      </c>
      <c r="BI75" s="10">
        <v>2833</v>
      </c>
      <c r="BJ75" s="10">
        <v>5802</v>
      </c>
      <c r="BK75" s="10">
        <v>23854</v>
      </c>
      <c r="BL75" s="63">
        <f t="shared" si="12"/>
        <v>366456.64999999997</v>
      </c>
      <c r="BM75" s="63">
        <f t="shared" si="13"/>
        <v>1206120.3500000001</v>
      </c>
    </row>
    <row r="76" spans="1:65" x14ac:dyDescent="0.25">
      <c r="A76" s="91" t="s">
        <v>278</v>
      </c>
      <c r="B76" s="91"/>
      <c r="C76" s="91"/>
      <c r="D76" s="91"/>
      <c r="E76" s="91"/>
      <c r="F76" s="91">
        <v>33904</v>
      </c>
      <c r="G76" s="91">
        <v>58878</v>
      </c>
      <c r="H76" s="91">
        <v>2759</v>
      </c>
      <c r="I76" s="91">
        <v>2975</v>
      </c>
      <c r="J76" s="91"/>
      <c r="K76" s="91"/>
      <c r="L76" s="91"/>
      <c r="M76" s="91"/>
      <c r="N76" s="91"/>
      <c r="O76" s="91"/>
      <c r="P76" s="91"/>
      <c r="Q76" s="91"/>
      <c r="R76" s="91"/>
      <c r="S76" s="91">
        <v>982.94</v>
      </c>
      <c r="T76" s="91"/>
      <c r="U76" s="91"/>
      <c r="V76" s="91">
        <v>1255</v>
      </c>
      <c r="W76" s="91">
        <v>2304</v>
      </c>
      <c r="X76" s="91">
        <v>684</v>
      </c>
      <c r="Y76" s="91">
        <v>0</v>
      </c>
      <c r="Z76" s="91"/>
      <c r="AA76" s="91">
        <v>1933</v>
      </c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>
        <v>2422.12</v>
      </c>
      <c r="AM76" s="91">
        <v>20847.400000000001</v>
      </c>
      <c r="AN76" s="91"/>
      <c r="AO76" s="91"/>
      <c r="AP76" s="91"/>
      <c r="AQ76" s="91"/>
      <c r="AR76" s="91">
        <v>5</v>
      </c>
      <c r="AS76" s="91"/>
      <c r="AT76" s="91"/>
      <c r="AU76" s="91"/>
      <c r="AV76" s="91">
        <v>6218</v>
      </c>
      <c r="AW76" s="91">
        <v>3646</v>
      </c>
      <c r="AX76" s="91"/>
      <c r="AY76" s="91"/>
      <c r="AZ76" s="91"/>
      <c r="BA76" s="91"/>
      <c r="BB76" s="91">
        <v>16</v>
      </c>
      <c r="BC76" s="91">
        <v>7</v>
      </c>
      <c r="BD76" s="91">
        <v>1038</v>
      </c>
      <c r="BE76" s="91">
        <v>0</v>
      </c>
      <c r="BF76" s="91">
        <v>0</v>
      </c>
      <c r="BG76" s="91">
        <v>0</v>
      </c>
      <c r="BH76" s="91">
        <v>134</v>
      </c>
      <c r="BI76" s="91">
        <v>34645</v>
      </c>
      <c r="BJ76" s="91">
        <v>120</v>
      </c>
      <c r="BK76" s="91">
        <v>1413</v>
      </c>
      <c r="BL76" s="68">
        <f t="shared" si="12"/>
        <v>48555.12</v>
      </c>
      <c r="BM76" s="68">
        <f t="shared" si="13"/>
        <v>127631.34</v>
      </c>
    </row>
    <row r="77" spans="1:65" x14ac:dyDescent="0.25">
      <c r="A77" s="2" t="s">
        <v>279</v>
      </c>
      <c r="B77" s="91"/>
      <c r="C77" s="91"/>
      <c r="D77" s="91"/>
      <c r="E77" s="91"/>
      <c r="F77" s="91">
        <v>65517</v>
      </c>
      <c r="G77" s="91">
        <v>65517</v>
      </c>
      <c r="H77" s="91">
        <v>1455</v>
      </c>
      <c r="I77" s="91">
        <v>1455</v>
      </c>
      <c r="J77" s="91"/>
      <c r="K77" s="91"/>
      <c r="L77" s="91"/>
      <c r="M77" s="91"/>
      <c r="N77" s="91"/>
      <c r="O77" s="91"/>
      <c r="P77" s="91"/>
      <c r="Q77" s="91"/>
      <c r="R77" s="91">
        <v>994</v>
      </c>
      <c r="S77" s="91">
        <v>994</v>
      </c>
      <c r="T77" s="91"/>
      <c r="U77" s="91"/>
      <c r="V77" s="91">
        <v>-3407</v>
      </c>
      <c r="W77" s="91">
        <v>-3407</v>
      </c>
      <c r="X77" s="91"/>
      <c r="Y77" s="91"/>
      <c r="Z77" s="91">
        <v>-481</v>
      </c>
      <c r="AA77" s="91">
        <v>1228</v>
      </c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>
        <v>2360.39</v>
      </c>
      <c r="AM77" s="91">
        <v>2360.39</v>
      </c>
      <c r="AN77" s="91"/>
      <c r="AO77" s="91"/>
      <c r="AP77" s="91"/>
      <c r="AQ77" s="91"/>
      <c r="AR77" s="91"/>
      <c r="AS77" s="91"/>
      <c r="AT77" s="91"/>
      <c r="AU77" s="91"/>
      <c r="AV77" s="91">
        <v>4881</v>
      </c>
      <c r="AW77" s="91">
        <v>4881</v>
      </c>
      <c r="AX77" s="91"/>
      <c r="AY77" s="91"/>
      <c r="AZ77" s="91"/>
      <c r="BA77" s="91"/>
      <c r="BB77" s="91">
        <v>12</v>
      </c>
      <c r="BC77" s="91">
        <v>12</v>
      </c>
      <c r="BD77" s="91">
        <v>0</v>
      </c>
      <c r="BE77" s="91">
        <v>0</v>
      </c>
      <c r="BF77" s="91">
        <v>8908</v>
      </c>
      <c r="BG77" s="91">
        <v>-3218</v>
      </c>
      <c r="BH77" s="91">
        <v>1416</v>
      </c>
      <c r="BI77" s="91">
        <v>1416</v>
      </c>
      <c r="BJ77" s="91">
        <v>-1175</v>
      </c>
      <c r="BK77" s="91">
        <v>-1175</v>
      </c>
      <c r="BL77" s="68">
        <f t="shared" si="12"/>
        <v>80480.39</v>
      </c>
      <c r="BM77" s="68">
        <f t="shared" si="13"/>
        <v>70063.39</v>
      </c>
    </row>
    <row r="78" spans="1:65" s="7" customFormat="1" x14ac:dyDescent="0.25">
      <c r="A78" s="10" t="s">
        <v>192</v>
      </c>
      <c r="B78" s="10"/>
      <c r="C78" s="10"/>
      <c r="D78" s="10"/>
      <c r="E78" s="10"/>
      <c r="F78" s="10">
        <v>176460</v>
      </c>
      <c r="G78" s="10">
        <v>684643</v>
      </c>
      <c r="H78" s="10">
        <v>7864</v>
      </c>
      <c r="I78" s="10">
        <v>40289</v>
      </c>
      <c r="J78" s="10"/>
      <c r="K78" s="10"/>
      <c r="L78" s="10">
        <v>23</v>
      </c>
      <c r="M78" s="10">
        <v>23</v>
      </c>
      <c r="N78" s="10"/>
      <c r="O78" s="10"/>
      <c r="P78" s="10"/>
      <c r="Q78" s="10"/>
      <c r="R78" s="10">
        <v>4168.7700000000004</v>
      </c>
      <c r="S78" s="10">
        <v>18409.439999999999</v>
      </c>
      <c r="T78" s="10">
        <v>79</v>
      </c>
      <c r="U78" s="10">
        <v>764</v>
      </c>
      <c r="V78" s="10">
        <v>16278</v>
      </c>
      <c r="W78" s="10">
        <v>59801</v>
      </c>
      <c r="X78" s="10">
        <v>566</v>
      </c>
      <c r="Y78" s="10">
        <v>11751</v>
      </c>
      <c r="Z78" s="10">
        <v>3875</v>
      </c>
      <c r="AA78" s="10">
        <v>21172</v>
      </c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>
        <v>30472.62</v>
      </c>
      <c r="AM78" s="10">
        <v>54190.86</v>
      </c>
      <c r="AN78" s="10"/>
      <c r="AO78" s="10"/>
      <c r="AP78" s="10"/>
      <c r="AQ78" s="10"/>
      <c r="AR78" s="10">
        <v>14995</v>
      </c>
      <c r="AS78" s="10">
        <v>107301</v>
      </c>
      <c r="AT78" s="10"/>
      <c r="AU78" s="10"/>
      <c r="AV78" s="10">
        <v>15811</v>
      </c>
      <c r="AW78" s="10">
        <v>40291</v>
      </c>
      <c r="AX78" s="10"/>
      <c r="AY78" s="10"/>
      <c r="AZ78" s="10"/>
      <c r="BA78" s="10"/>
      <c r="BB78" s="10">
        <v>29</v>
      </c>
      <c r="BC78" s="10">
        <v>57</v>
      </c>
      <c r="BD78" s="10">
        <v>32179</v>
      </c>
      <c r="BE78" s="10">
        <v>94473</v>
      </c>
      <c r="BF78" s="10">
        <v>16560</v>
      </c>
      <c r="BG78" s="10">
        <v>61565</v>
      </c>
      <c r="BH78" s="10">
        <v>1259</v>
      </c>
      <c r="BI78" s="10">
        <v>36061</v>
      </c>
      <c r="BJ78" s="10">
        <v>4746</v>
      </c>
      <c r="BK78" s="10">
        <v>24092</v>
      </c>
      <c r="BL78" s="63">
        <f t="shared" si="12"/>
        <v>325365.39</v>
      </c>
      <c r="BM78" s="63">
        <f t="shared" si="13"/>
        <v>1254883.2999999998</v>
      </c>
    </row>
    <row r="80" spans="1:65" x14ac:dyDescent="0.25">
      <c r="A80" s="23" t="s">
        <v>188</v>
      </c>
    </row>
    <row r="81" spans="1:65" x14ac:dyDescent="0.25">
      <c r="A81" s="1" t="s">
        <v>0</v>
      </c>
      <c r="B81" s="154" t="s">
        <v>1</v>
      </c>
      <c r="C81" s="155"/>
      <c r="D81" s="154" t="s">
        <v>234</v>
      </c>
      <c r="E81" s="155"/>
      <c r="F81" s="154" t="s">
        <v>2</v>
      </c>
      <c r="G81" s="155"/>
      <c r="H81" s="154" t="s">
        <v>3</v>
      </c>
      <c r="I81" s="155"/>
      <c r="J81" s="154" t="s">
        <v>243</v>
      </c>
      <c r="K81" s="155"/>
      <c r="L81" s="154" t="s">
        <v>235</v>
      </c>
      <c r="M81" s="155"/>
      <c r="N81" s="154" t="s">
        <v>5</v>
      </c>
      <c r="O81" s="155"/>
      <c r="P81" s="154" t="s">
        <v>4</v>
      </c>
      <c r="Q81" s="155"/>
      <c r="R81" s="154" t="s">
        <v>6</v>
      </c>
      <c r="S81" s="155"/>
      <c r="T81" s="154" t="s">
        <v>246</v>
      </c>
      <c r="U81" s="155"/>
      <c r="V81" s="154" t="s">
        <v>7</v>
      </c>
      <c r="W81" s="155"/>
      <c r="X81" s="154" t="s">
        <v>8</v>
      </c>
      <c r="Y81" s="155"/>
      <c r="Z81" s="154" t="s">
        <v>9</v>
      </c>
      <c r="AA81" s="155"/>
      <c r="AB81" s="154" t="s">
        <v>242</v>
      </c>
      <c r="AC81" s="155"/>
      <c r="AD81" s="154" t="s">
        <v>10</v>
      </c>
      <c r="AE81" s="155"/>
      <c r="AF81" s="154" t="s">
        <v>11</v>
      </c>
      <c r="AG81" s="155"/>
      <c r="AH81" s="154" t="s">
        <v>236</v>
      </c>
      <c r="AI81" s="155"/>
      <c r="AJ81" s="154" t="s">
        <v>245</v>
      </c>
      <c r="AK81" s="155"/>
      <c r="AL81" s="154" t="s">
        <v>12</v>
      </c>
      <c r="AM81" s="155"/>
      <c r="AN81" s="154" t="s">
        <v>237</v>
      </c>
      <c r="AO81" s="155"/>
      <c r="AP81" s="154" t="s">
        <v>238</v>
      </c>
      <c r="AQ81" s="155"/>
      <c r="AR81" s="154" t="s">
        <v>241</v>
      </c>
      <c r="AS81" s="155"/>
      <c r="AT81" s="154" t="s">
        <v>13</v>
      </c>
      <c r="AU81" s="155"/>
      <c r="AV81" s="154" t="s">
        <v>14</v>
      </c>
      <c r="AW81" s="155"/>
      <c r="AX81" s="154" t="s">
        <v>15</v>
      </c>
      <c r="AY81" s="155"/>
      <c r="AZ81" s="154" t="s">
        <v>16</v>
      </c>
      <c r="BA81" s="155"/>
      <c r="BB81" s="154" t="s">
        <v>17</v>
      </c>
      <c r="BC81" s="155"/>
      <c r="BD81" s="154" t="s">
        <v>239</v>
      </c>
      <c r="BE81" s="155"/>
      <c r="BF81" s="154" t="s">
        <v>240</v>
      </c>
      <c r="BG81" s="155"/>
      <c r="BH81" s="154" t="s">
        <v>18</v>
      </c>
      <c r="BI81" s="155"/>
      <c r="BJ81" s="154" t="s">
        <v>19</v>
      </c>
      <c r="BK81" s="155"/>
      <c r="BL81" s="156" t="s">
        <v>20</v>
      </c>
      <c r="BM81" s="157"/>
    </row>
    <row r="82" spans="1:65" ht="30" x14ac:dyDescent="0.25">
      <c r="A82" s="1"/>
      <c r="B82" s="53" t="s">
        <v>300</v>
      </c>
      <c r="C82" s="54" t="s">
        <v>301</v>
      </c>
      <c r="D82" s="53" t="s">
        <v>300</v>
      </c>
      <c r="E82" s="54" t="s">
        <v>301</v>
      </c>
      <c r="F82" s="53" t="s">
        <v>300</v>
      </c>
      <c r="G82" s="54" t="s">
        <v>301</v>
      </c>
      <c r="H82" s="53" t="s">
        <v>300</v>
      </c>
      <c r="I82" s="54" t="s">
        <v>301</v>
      </c>
      <c r="J82" s="53" t="s">
        <v>300</v>
      </c>
      <c r="K82" s="54" t="s">
        <v>301</v>
      </c>
      <c r="L82" s="53" t="s">
        <v>300</v>
      </c>
      <c r="M82" s="54" t="s">
        <v>301</v>
      </c>
      <c r="N82" s="53" t="s">
        <v>300</v>
      </c>
      <c r="O82" s="54" t="s">
        <v>301</v>
      </c>
      <c r="P82" s="53" t="s">
        <v>300</v>
      </c>
      <c r="Q82" s="54" t="s">
        <v>301</v>
      </c>
      <c r="R82" s="53" t="s">
        <v>300</v>
      </c>
      <c r="S82" s="54" t="s">
        <v>301</v>
      </c>
      <c r="T82" s="53" t="s">
        <v>300</v>
      </c>
      <c r="U82" s="54" t="s">
        <v>301</v>
      </c>
      <c r="V82" s="53" t="s">
        <v>300</v>
      </c>
      <c r="W82" s="54" t="s">
        <v>301</v>
      </c>
      <c r="X82" s="53" t="s">
        <v>300</v>
      </c>
      <c r="Y82" s="54" t="s">
        <v>301</v>
      </c>
      <c r="Z82" s="53" t="s">
        <v>300</v>
      </c>
      <c r="AA82" s="54" t="s">
        <v>301</v>
      </c>
      <c r="AB82" s="53" t="s">
        <v>300</v>
      </c>
      <c r="AC82" s="54" t="s">
        <v>301</v>
      </c>
      <c r="AD82" s="53" t="s">
        <v>300</v>
      </c>
      <c r="AE82" s="54" t="s">
        <v>301</v>
      </c>
      <c r="AF82" s="53" t="s">
        <v>300</v>
      </c>
      <c r="AG82" s="54" t="s">
        <v>301</v>
      </c>
      <c r="AH82" s="53" t="s">
        <v>300</v>
      </c>
      <c r="AI82" s="54" t="s">
        <v>301</v>
      </c>
      <c r="AJ82" s="53" t="s">
        <v>300</v>
      </c>
      <c r="AK82" s="54" t="s">
        <v>301</v>
      </c>
      <c r="AL82" s="53" t="s">
        <v>300</v>
      </c>
      <c r="AM82" s="54" t="s">
        <v>301</v>
      </c>
      <c r="AN82" s="53" t="s">
        <v>300</v>
      </c>
      <c r="AO82" s="54" t="s">
        <v>301</v>
      </c>
      <c r="AP82" s="53" t="s">
        <v>300</v>
      </c>
      <c r="AQ82" s="54" t="s">
        <v>301</v>
      </c>
      <c r="AR82" s="53" t="s">
        <v>300</v>
      </c>
      <c r="AS82" s="54" t="s">
        <v>301</v>
      </c>
      <c r="AT82" s="53" t="s">
        <v>300</v>
      </c>
      <c r="AU82" s="54" t="s">
        <v>301</v>
      </c>
      <c r="AV82" s="53" t="s">
        <v>300</v>
      </c>
      <c r="AW82" s="54" t="s">
        <v>301</v>
      </c>
      <c r="AX82" s="53" t="s">
        <v>300</v>
      </c>
      <c r="AY82" s="54" t="s">
        <v>301</v>
      </c>
      <c r="AZ82" s="53" t="s">
        <v>300</v>
      </c>
      <c r="BA82" s="54" t="s">
        <v>301</v>
      </c>
      <c r="BB82" s="53" t="s">
        <v>300</v>
      </c>
      <c r="BC82" s="54" t="s">
        <v>301</v>
      </c>
      <c r="BD82" s="53" t="s">
        <v>300</v>
      </c>
      <c r="BE82" s="54" t="s">
        <v>301</v>
      </c>
      <c r="BF82" s="53" t="s">
        <v>300</v>
      </c>
      <c r="BG82" s="54" t="s">
        <v>301</v>
      </c>
      <c r="BH82" s="53" t="s">
        <v>300</v>
      </c>
      <c r="BI82" s="54" t="s">
        <v>301</v>
      </c>
      <c r="BJ82" s="53" t="s">
        <v>300</v>
      </c>
      <c r="BK82" s="54" t="s">
        <v>301</v>
      </c>
      <c r="BL82" s="104" t="s">
        <v>300</v>
      </c>
      <c r="BM82" s="105" t="s">
        <v>301</v>
      </c>
    </row>
    <row r="83" spans="1:65" x14ac:dyDescent="0.25">
      <c r="A83" s="91" t="s">
        <v>274</v>
      </c>
      <c r="B83" s="76"/>
      <c r="C83" s="76"/>
      <c r="D83" s="76"/>
      <c r="E83" s="76"/>
      <c r="F83" s="76"/>
      <c r="G83" s="76"/>
      <c r="H83" s="91">
        <v>192</v>
      </c>
      <c r="I83" s="91">
        <v>1446</v>
      </c>
      <c r="J83" s="76"/>
      <c r="K83" s="76"/>
      <c r="L83" s="76"/>
      <c r="M83" s="76"/>
      <c r="N83" s="76"/>
      <c r="O83" s="76"/>
      <c r="P83" s="76"/>
      <c r="Q83" s="76"/>
      <c r="R83" s="91">
        <v>681.01</v>
      </c>
      <c r="S83" s="91">
        <v>692.73</v>
      </c>
      <c r="T83" s="76"/>
      <c r="U83" s="76"/>
      <c r="V83" s="91">
        <v>276</v>
      </c>
      <c r="W83" s="91">
        <v>1814</v>
      </c>
      <c r="X83" s="91">
        <v>3568</v>
      </c>
      <c r="Y83" s="91">
        <v>13118</v>
      </c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91">
        <v>2411.2800000000002</v>
      </c>
      <c r="AM83" s="91">
        <v>11260.27</v>
      </c>
      <c r="AN83" s="76"/>
      <c r="AO83" s="76"/>
      <c r="AP83" s="76"/>
      <c r="AQ83" s="76"/>
      <c r="AR83" s="76">
        <v>500</v>
      </c>
      <c r="AS83" s="76">
        <v>3387</v>
      </c>
      <c r="AT83" s="76"/>
      <c r="AU83" s="76"/>
      <c r="AV83" s="91">
        <v>3</v>
      </c>
      <c r="AW83" s="91">
        <v>14</v>
      </c>
      <c r="AX83" s="76"/>
      <c r="AY83" s="76"/>
      <c r="AZ83" s="76"/>
      <c r="BA83" s="76"/>
      <c r="BB83" s="76"/>
      <c r="BC83" s="76"/>
      <c r="BD83" s="91">
        <v>6850</v>
      </c>
      <c r="BE83" s="91">
        <v>28645</v>
      </c>
      <c r="BF83" s="91">
        <v>2123</v>
      </c>
      <c r="BG83" s="91">
        <v>12746</v>
      </c>
      <c r="BH83" s="91">
        <v>3451</v>
      </c>
      <c r="BI83" s="91">
        <v>12094</v>
      </c>
      <c r="BJ83" s="76"/>
      <c r="BK83" s="76"/>
      <c r="BL83" s="68">
        <f t="shared" ref="BL83:BL89" si="14">SUM(B83+D83+F83+H83+J83+L83+N83+P83+R83+T83+V83+X83+Z83+AB83+AD83+AF83+AH83+AJ83+AL83+AN83+AP83+AR83+AT83+AV83+AX83+AZ83+BB83+BD83+BF83+BH83+BJ83)</f>
        <v>20055.29</v>
      </c>
      <c r="BM83" s="68">
        <f t="shared" ref="BM83:BM89" si="15">SUM(C83+E83+G83+I83+K83+M83+O83+Q83+S83+U83+W83+Y83+AA83+AC83+AE83+AG83+AI83+AK83+AM83+AO83+AQ83+AS83+AU83+AW83+AY83+BA83+BC83+BE83+BG83+BI83+BK83)</f>
        <v>85217</v>
      </c>
    </row>
    <row r="84" spans="1:65" x14ac:dyDescent="0.25">
      <c r="A84" s="91" t="s">
        <v>275</v>
      </c>
      <c r="B84" s="76"/>
      <c r="C84" s="76"/>
      <c r="D84" s="76"/>
      <c r="E84" s="76"/>
      <c r="F84" s="76"/>
      <c r="G84" s="76"/>
      <c r="H84" s="91"/>
      <c r="I84" s="91"/>
      <c r="J84" s="76"/>
      <c r="K84" s="76"/>
      <c r="L84" s="76"/>
      <c r="M84" s="76"/>
      <c r="N84" s="76"/>
      <c r="O84" s="76"/>
      <c r="P84" s="76"/>
      <c r="Q84" s="76"/>
      <c r="R84" s="91"/>
      <c r="S84" s="91"/>
      <c r="T84" s="76"/>
      <c r="U84" s="76"/>
      <c r="V84" s="91"/>
      <c r="W84" s="91"/>
      <c r="X84" s="91">
        <v>330</v>
      </c>
      <c r="Y84" s="91">
        <v>1193</v>
      </c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91">
        <v>2895.69</v>
      </c>
      <c r="AM84" s="91">
        <v>9528.0499999999993</v>
      </c>
      <c r="AN84" s="76"/>
      <c r="AO84" s="76"/>
      <c r="AP84" s="76"/>
      <c r="AQ84" s="76"/>
      <c r="AR84" s="76"/>
      <c r="AS84" s="76"/>
      <c r="AT84" s="76"/>
      <c r="AU84" s="76"/>
      <c r="AV84" s="91"/>
      <c r="AW84" s="91"/>
      <c r="AX84" s="76"/>
      <c r="AY84" s="76"/>
      <c r="AZ84" s="76"/>
      <c r="BA84" s="76"/>
      <c r="BB84" s="76"/>
      <c r="BC84" s="76"/>
      <c r="BD84" s="91">
        <v>5729</v>
      </c>
      <c r="BE84" s="91">
        <v>9133</v>
      </c>
      <c r="BF84" s="91">
        <v>2338</v>
      </c>
      <c r="BG84" s="91">
        <v>13648</v>
      </c>
      <c r="BH84" s="91">
        <v>372</v>
      </c>
      <c r="BI84" s="91">
        <v>1674</v>
      </c>
      <c r="BJ84" s="76"/>
      <c r="BK84" s="76"/>
      <c r="BL84" s="68">
        <f t="shared" si="14"/>
        <v>11664.69</v>
      </c>
      <c r="BM84" s="68">
        <f t="shared" si="15"/>
        <v>35176.050000000003</v>
      </c>
    </row>
    <row r="85" spans="1:65" x14ac:dyDescent="0.25">
      <c r="A85" s="91" t="s">
        <v>276</v>
      </c>
      <c r="B85" s="76"/>
      <c r="C85" s="76"/>
      <c r="D85" s="76"/>
      <c r="E85" s="76"/>
      <c r="F85" s="76"/>
      <c r="G85" s="76"/>
      <c r="H85" s="91">
        <v>-173</v>
      </c>
      <c r="I85" s="91">
        <v>-1452</v>
      </c>
      <c r="J85" s="76"/>
      <c r="K85" s="76"/>
      <c r="L85" s="76"/>
      <c r="M85" s="76"/>
      <c r="N85" s="76"/>
      <c r="O85" s="76"/>
      <c r="P85" s="76"/>
      <c r="Q85" s="76"/>
      <c r="R85" s="91">
        <v>34.049999999999997</v>
      </c>
      <c r="S85" s="91">
        <v>34.64</v>
      </c>
      <c r="T85" s="76"/>
      <c r="U85" s="76"/>
      <c r="V85" s="91">
        <v>-276</v>
      </c>
      <c r="W85" s="91">
        <v>-1813</v>
      </c>
      <c r="X85" s="91">
        <v>2581</v>
      </c>
      <c r="Y85" s="91">
        <v>11673</v>
      </c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91">
        <v>2749.84</v>
      </c>
      <c r="AM85" s="91">
        <v>11927.2</v>
      </c>
      <c r="AN85" s="76"/>
      <c r="AO85" s="76"/>
      <c r="AP85" s="76"/>
      <c r="AQ85" s="76"/>
      <c r="AR85" s="76">
        <v>499</v>
      </c>
      <c r="AS85" s="76">
        <v>2708</v>
      </c>
      <c r="AT85" s="76"/>
      <c r="AU85" s="76"/>
      <c r="AV85" s="91">
        <v>3</v>
      </c>
      <c r="AW85" s="91">
        <v>14</v>
      </c>
      <c r="AX85" s="76"/>
      <c r="AY85" s="76"/>
      <c r="AZ85" s="76"/>
      <c r="BA85" s="76"/>
      <c r="BB85" s="76"/>
      <c r="BC85" s="76"/>
      <c r="BD85" s="91">
        <v>8268</v>
      </c>
      <c r="BE85" s="91">
        <v>28106</v>
      </c>
      <c r="BF85" s="91">
        <v>2628</v>
      </c>
      <c r="BG85" s="91">
        <v>14065</v>
      </c>
      <c r="BH85" s="91">
        <v>3893</v>
      </c>
      <c r="BI85" s="91">
        <v>12102</v>
      </c>
      <c r="BJ85" s="76"/>
      <c r="BK85" s="76"/>
      <c r="BL85" s="68">
        <f t="shared" si="14"/>
        <v>20206.89</v>
      </c>
      <c r="BM85" s="68">
        <f t="shared" si="15"/>
        <v>77364.84</v>
      </c>
    </row>
    <row r="86" spans="1:65" s="7" customFormat="1" x14ac:dyDescent="0.25">
      <c r="A86" s="10" t="s">
        <v>277</v>
      </c>
      <c r="B86" s="10"/>
      <c r="C86" s="10"/>
      <c r="D86" s="10"/>
      <c r="E86" s="10"/>
      <c r="F86" s="10"/>
      <c r="G86" s="10"/>
      <c r="H86" s="10">
        <v>19</v>
      </c>
      <c r="I86" s="10">
        <v>-6</v>
      </c>
      <c r="J86" s="10"/>
      <c r="K86" s="10"/>
      <c r="L86" s="10"/>
      <c r="M86" s="10"/>
      <c r="N86" s="10"/>
      <c r="O86" s="10"/>
      <c r="P86" s="10"/>
      <c r="Q86" s="10"/>
      <c r="R86" s="10">
        <v>646.96</v>
      </c>
      <c r="S86" s="10">
        <v>658.09</v>
      </c>
      <c r="T86" s="10"/>
      <c r="U86" s="10"/>
      <c r="V86" s="10"/>
      <c r="W86" s="10">
        <v>2</v>
      </c>
      <c r="X86" s="10">
        <v>1317</v>
      </c>
      <c r="Y86" s="10">
        <v>2638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>
        <v>2557.14</v>
      </c>
      <c r="AM86" s="10">
        <v>8861.1200000000008</v>
      </c>
      <c r="AN86" s="10"/>
      <c r="AO86" s="10"/>
      <c r="AP86" s="10"/>
      <c r="AQ86" s="10"/>
      <c r="AR86" s="10">
        <v>1</v>
      </c>
      <c r="AS86" s="10">
        <v>679</v>
      </c>
      <c r="AT86" s="10"/>
      <c r="AU86" s="10"/>
      <c r="AV86" s="10">
        <v>0</v>
      </c>
      <c r="AW86" s="10">
        <v>0</v>
      </c>
      <c r="AX86" s="10"/>
      <c r="AY86" s="10"/>
      <c r="AZ86" s="10"/>
      <c r="BA86" s="10"/>
      <c r="BB86" s="10"/>
      <c r="BC86" s="10"/>
      <c r="BD86" s="10">
        <v>4311</v>
      </c>
      <c r="BE86" s="10">
        <v>9671</v>
      </c>
      <c r="BF86" s="10">
        <v>1832</v>
      </c>
      <c r="BG86" s="10">
        <v>12329</v>
      </c>
      <c r="BH86" s="10">
        <v>-70</v>
      </c>
      <c r="BI86" s="10">
        <v>1666</v>
      </c>
      <c r="BJ86" s="10"/>
      <c r="BK86" s="10"/>
      <c r="BL86" s="63">
        <f t="shared" si="14"/>
        <v>10614.1</v>
      </c>
      <c r="BM86" s="63">
        <f t="shared" si="15"/>
        <v>36498.21</v>
      </c>
    </row>
    <row r="87" spans="1:65" x14ac:dyDescent="0.25">
      <c r="A87" s="91" t="s">
        <v>278</v>
      </c>
      <c r="B87" s="91"/>
      <c r="C87" s="91"/>
      <c r="D87" s="91"/>
      <c r="E87" s="91"/>
      <c r="F87" s="91"/>
      <c r="G87" s="91"/>
      <c r="H87" s="91">
        <v>6</v>
      </c>
      <c r="I87" s="91">
        <v>3</v>
      </c>
      <c r="J87" s="91"/>
      <c r="K87" s="91"/>
      <c r="L87" s="91"/>
      <c r="M87" s="91"/>
      <c r="N87" s="91"/>
      <c r="O87" s="91"/>
      <c r="P87" s="91"/>
      <c r="Q87" s="91"/>
      <c r="R87" s="91">
        <v>0.72</v>
      </c>
      <c r="S87" s="91">
        <v>326.04000000000002</v>
      </c>
      <c r="T87" s="91"/>
      <c r="U87" s="91"/>
      <c r="V87" s="91">
        <v>1</v>
      </c>
      <c r="W87" s="91"/>
      <c r="X87" s="91">
        <v>393</v>
      </c>
      <c r="Y87" s="91">
        <v>1195</v>
      </c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>
        <v>4676.26</v>
      </c>
      <c r="AM87" s="91">
        <v>2701.3</v>
      </c>
      <c r="AN87" s="91"/>
      <c r="AO87" s="91"/>
      <c r="AP87" s="91"/>
      <c r="AQ87" s="91"/>
      <c r="AR87" s="91">
        <v>19</v>
      </c>
      <c r="AS87" s="91">
        <v>6</v>
      </c>
      <c r="AT87" s="91"/>
      <c r="AU87" s="91"/>
      <c r="AV87" s="91">
        <v>0</v>
      </c>
      <c r="AW87" s="91">
        <v>0</v>
      </c>
      <c r="AX87" s="91"/>
      <c r="AY87" s="91"/>
      <c r="AZ87" s="91"/>
      <c r="BA87" s="91"/>
      <c r="BB87" s="91"/>
      <c r="BC87" s="91"/>
      <c r="BD87" s="91">
        <v>2932</v>
      </c>
      <c r="BE87" s="91">
        <v>6685</v>
      </c>
      <c r="BF87" s="91">
        <v>0</v>
      </c>
      <c r="BG87" s="91">
        <v>0</v>
      </c>
      <c r="BH87" s="91">
        <v>1131</v>
      </c>
      <c r="BI87" s="91">
        <v>690</v>
      </c>
      <c r="BJ87" s="91"/>
      <c r="BK87" s="91"/>
      <c r="BL87" s="68">
        <f t="shared" si="14"/>
        <v>9158.98</v>
      </c>
      <c r="BM87" s="68">
        <f t="shared" si="15"/>
        <v>11606.34</v>
      </c>
    </row>
    <row r="88" spans="1:65" x14ac:dyDescent="0.25">
      <c r="A88" s="2" t="s">
        <v>279</v>
      </c>
      <c r="B88" s="91"/>
      <c r="C88" s="91"/>
      <c r="D88" s="91"/>
      <c r="E88" s="91"/>
      <c r="F88" s="91"/>
      <c r="G88" s="91"/>
      <c r="H88" s="91">
        <v>4</v>
      </c>
      <c r="I88" s="91">
        <v>4</v>
      </c>
      <c r="J88" s="91"/>
      <c r="K88" s="91"/>
      <c r="L88" s="91"/>
      <c r="M88" s="91"/>
      <c r="N88" s="91"/>
      <c r="O88" s="91"/>
      <c r="P88" s="91"/>
      <c r="Q88" s="91"/>
      <c r="R88" s="91">
        <v>489.46</v>
      </c>
      <c r="S88" s="91">
        <v>489.46</v>
      </c>
      <c r="T88" s="91"/>
      <c r="U88" s="91"/>
      <c r="V88" s="91">
        <v>-1</v>
      </c>
      <c r="W88" s="91">
        <v>-1</v>
      </c>
      <c r="X88" s="91">
        <v>1126</v>
      </c>
      <c r="Y88" s="91">
        <v>1126</v>
      </c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>
        <v>4260.3599999999997</v>
      </c>
      <c r="AM88" s="91">
        <v>4260.3599999999997</v>
      </c>
      <c r="AN88" s="91"/>
      <c r="AO88" s="91"/>
      <c r="AP88" s="91"/>
      <c r="AQ88" s="91"/>
      <c r="AR88" s="91">
        <v>10</v>
      </c>
      <c r="AS88" s="91">
        <v>10</v>
      </c>
      <c r="AT88" s="91"/>
      <c r="AU88" s="91"/>
      <c r="AV88" s="91">
        <v>0</v>
      </c>
      <c r="AW88" s="91">
        <v>0</v>
      </c>
      <c r="AX88" s="91"/>
      <c r="AY88" s="91"/>
      <c r="AZ88" s="91"/>
      <c r="BA88" s="91"/>
      <c r="BB88" s="91"/>
      <c r="BC88" s="91"/>
      <c r="BD88" s="91">
        <v>5726</v>
      </c>
      <c r="BE88" s="91">
        <v>5726</v>
      </c>
      <c r="BF88" s="91">
        <v>-140</v>
      </c>
      <c r="BG88" s="91">
        <v>-1575</v>
      </c>
      <c r="BH88" s="91">
        <v>833</v>
      </c>
      <c r="BI88" s="91">
        <v>833</v>
      </c>
      <c r="BJ88" s="91"/>
      <c r="BK88" s="91"/>
      <c r="BL88" s="68">
        <f t="shared" si="14"/>
        <v>12307.82</v>
      </c>
      <c r="BM88" s="68">
        <f t="shared" si="15"/>
        <v>10872.82</v>
      </c>
    </row>
    <row r="89" spans="1:65" s="7" customFormat="1" x14ac:dyDescent="0.25">
      <c r="A89" s="10" t="s">
        <v>192</v>
      </c>
      <c r="B89" s="10"/>
      <c r="C89" s="10"/>
      <c r="D89" s="10"/>
      <c r="E89" s="10"/>
      <c r="F89" s="10"/>
      <c r="G89" s="10"/>
      <c r="H89" s="10">
        <v>21</v>
      </c>
      <c r="I89" s="10">
        <v>-7</v>
      </c>
      <c r="J89" s="10"/>
      <c r="K89" s="10"/>
      <c r="L89" s="10"/>
      <c r="M89" s="10"/>
      <c r="N89" s="10"/>
      <c r="O89" s="10"/>
      <c r="P89" s="10"/>
      <c r="Q89" s="10"/>
      <c r="R89" s="10">
        <v>158.22</v>
      </c>
      <c r="S89" s="10">
        <v>494.67</v>
      </c>
      <c r="T89" s="10"/>
      <c r="U89" s="10"/>
      <c r="V89" s="10"/>
      <c r="W89" s="10">
        <v>1</v>
      </c>
      <c r="X89" s="10">
        <v>584</v>
      </c>
      <c r="Y89" s="10">
        <v>2707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>
        <v>2973.04</v>
      </c>
      <c r="AM89" s="10">
        <v>7302.07</v>
      </c>
      <c r="AN89" s="10"/>
      <c r="AO89" s="10"/>
      <c r="AP89" s="10"/>
      <c r="AQ89" s="10"/>
      <c r="AR89" s="10">
        <v>10</v>
      </c>
      <c r="AS89" s="10">
        <v>674</v>
      </c>
      <c r="AT89" s="10"/>
      <c r="AU89" s="10"/>
      <c r="AV89" s="10">
        <v>0</v>
      </c>
      <c r="AW89" s="10">
        <v>0</v>
      </c>
      <c r="AX89" s="10"/>
      <c r="AY89" s="10"/>
      <c r="AZ89" s="10"/>
      <c r="BA89" s="10"/>
      <c r="BB89" s="10"/>
      <c r="BC89" s="10"/>
      <c r="BD89" s="10">
        <v>1518</v>
      </c>
      <c r="BE89" s="10">
        <v>10631</v>
      </c>
      <c r="BF89" s="10">
        <v>1971</v>
      </c>
      <c r="BG89" s="10">
        <v>13904</v>
      </c>
      <c r="BH89" s="10">
        <v>228</v>
      </c>
      <c r="BI89" s="10">
        <v>1523</v>
      </c>
      <c r="BJ89" s="10"/>
      <c r="BK89" s="10"/>
      <c r="BL89" s="63">
        <f t="shared" si="14"/>
        <v>7463.26</v>
      </c>
      <c r="BM89" s="63">
        <f t="shared" si="15"/>
        <v>37229.74</v>
      </c>
    </row>
    <row r="91" spans="1:65" x14ac:dyDescent="0.25">
      <c r="A91" s="23" t="s">
        <v>189</v>
      </c>
    </row>
    <row r="92" spans="1:65" x14ac:dyDescent="0.25">
      <c r="A92" s="1" t="s">
        <v>0</v>
      </c>
      <c r="B92" s="154" t="s">
        <v>1</v>
      </c>
      <c r="C92" s="155"/>
      <c r="D92" s="154" t="s">
        <v>234</v>
      </c>
      <c r="E92" s="155"/>
      <c r="F92" s="154" t="s">
        <v>2</v>
      </c>
      <c r="G92" s="155"/>
      <c r="H92" s="154" t="s">
        <v>3</v>
      </c>
      <c r="I92" s="155"/>
      <c r="J92" s="154" t="s">
        <v>243</v>
      </c>
      <c r="K92" s="155"/>
      <c r="L92" s="154" t="s">
        <v>235</v>
      </c>
      <c r="M92" s="155"/>
      <c r="N92" s="154" t="s">
        <v>5</v>
      </c>
      <c r="O92" s="155"/>
      <c r="P92" s="154" t="s">
        <v>4</v>
      </c>
      <c r="Q92" s="155"/>
      <c r="R92" s="154" t="s">
        <v>6</v>
      </c>
      <c r="S92" s="155"/>
      <c r="T92" s="154" t="s">
        <v>246</v>
      </c>
      <c r="U92" s="155"/>
      <c r="V92" s="154" t="s">
        <v>7</v>
      </c>
      <c r="W92" s="155"/>
      <c r="X92" s="154" t="s">
        <v>8</v>
      </c>
      <c r="Y92" s="155"/>
      <c r="Z92" s="154" t="s">
        <v>9</v>
      </c>
      <c r="AA92" s="155"/>
      <c r="AB92" s="154" t="s">
        <v>242</v>
      </c>
      <c r="AC92" s="155"/>
      <c r="AD92" s="154" t="s">
        <v>10</v>
      </c>
      <c r="AE92" s="155"/>
      <c r="AF92" s="154" t="s">
        <v>11</v>
      </c>
      <c r="AG92" s="155"/>
      <c r="AH92" s="154" t="s">
        <v>236</v>
      </c>
      <c r="AI92" s="155"/>
      <c r="AJ92" s="154" t="s">
        <v>245</v>
      </c>
      <c r="AK92" s="155"/>
      <c r="AL92" s="154" t="s">
        <v>12</v>
      </c>
      <c r="AM92" s="155"/>
      <c r="AN92" s="154" t="s">
        <v>237</v>
      </c>
      <c r="AO92" s="155"/>
      <c r="AP92" s="154" t="s">
        <v>238</v>
      </c>
      <c r="AQ92" s="155"/>
      <c r="AR92" s="154" t="s">
        <v>241</v>
      </c>
      <c r="AS92" s="155"/>
      <c r="AT92" s="154" t="s">
        <v>13</v>
      </c>
      <c r="AU92" s="155"/>
      <c r="AV92" s="154" t="s">
        <v>14</v>
      </c>
      <c r="AW92" s="155"/>
      <c r="AX92" s="154" t="s">
        <v>15</v>
      </c>
      <c r="AY92" s="155"/>
      <c r="AZ92" s="154" t="s">
        <v>16</v>
      </c>
      <c r="BA92" s="155"/>
      <c r="BB92" s="154" t="s">
        <v>17</v>
      </c>
      <c r="BC92" s="155"/>
      <c r="BD92" s="154" t="s">
        <v>239</v>
      </c>
      <c r="BE92" s="155"/>
      <c r="BF92" s="154" t="s">
        <v>240</v>
      </c>
      <c r="BG92" s="155"/>
      <c r="BH92" s="154" t="s">
        <v>18</v>
      </c>
      <c r="BI92" s="155"/>
      <c r="BJ92" s="154" t="s">
        <v>19</v>
      </c>
      <c r="BK92" s="155"/>
      <c r="BL92" s="156" t="s">
        <v>20</v>
      </c>
      <c r="BM92" s="157"/>
    </row>
    <row r="93" spans="1:65" ht="30" x14ac:dyDescent="0.25">
      <c r="A93" s="1"/>
      <c r="B93" s="53" t="s">
        <v>300</v>
      </c>
      <c r="C93" s="54" t="s">
        <v>301</v>
      </c>
      <c r="D93" s="53" t="s">
        <v>300</v>
      </c>
      <c r="E93" s="54" t="s">
        <v>301</v>
      </c>
      <c r="F93" s="53" t="s">
        <v>300</v>
      </c>
      <c r="G93" s="54" t="s">
        <v>301</v>
      </c>
      <c r="H93" s="53" t="s">
        <v>300</v>
      </c>
      <c r="I93" s="54" t="s">
        <v>301</v>
      </c>
      <c r="J93" s="53" t="s">
        <v>300</v>
      </c>
      <c r="K93" s="54" t="s">
        <v>301</v>
      </c>
      <c r="L93" s="53" t="s">
        <v>300</v>
      </c>
      <c r="M93" s="54" t="s">
        <v>301</v>
      </c>
      <c r="N93" s="53" t="s">
        <v>300</v>
      </c>
      <c r="O93" s="54" t="s">
        <v>301</v>
      </c>
      <c r="P93" s="53" t="s">
        <v>300</v>
      </c>
      <c r="Q93" s="54" t="s">
        <v>301</v>
      </c>
      <c r="R93" s="53" t="s">
        <v>300</v>
      </c>
      <c r="S93" s="54" t="s">
        <v>301</v>
      </c>
      <c r="T93" s="53" t="s">
        <v>300</v>
      </c>
      <c r="U93" s="54" t="s">
        <v>301</v>
      </c>
      <c r="V93" s="53" t="s">
        <v>300</v>
      </c>
      <c r="W93" s="54" t="s">
        <v>301</v>
      </c>
      <c r="X93" s="53" t="s">
        <v>300</v>
      </c>
      <c r="Y93" s="54" t="s">
        <v>301</v>
      </c>
      <c r="Z93" s="53" t="s">
        <v>300</v>
      </c>
      <c r="AA93" s="54" t="s">
        <v>301</v>
      </c>
      <c r="AB93" s="53" t="s">
        <v>300</v>
      </c>
      <c r="AC93" s="54" t="s">
        <v>301</v>
      </c>
      <c r="AD93" s="53" t="s">
        <v>300</v>
      </c>
      <c r="AE93" s="54" t="s">
        <v>301</v>
      </c>
      <c r="AF93" s="53" t="s">
        <v>300</v>
      </c>
      <c r="AG93" s="54" t="s">
        <v>301</v>
      </c>
      <c r="AH93" s="53" t="s">
        <v>300</v>
      </c>
      <c r="AI93" s="54" t="s">
        <v>301</v>
      </c>
      <c r="AJ93" s="53" t="s">
        <v>300</v>
      </c>
      <c r="AK93" s="54" t="s">
        <v>301</v>
      </c>
      <c r="AL93" s="53" t="s">
        <v>300</v>
      </c>
      <c r="AM93" s="54" t="s">
        <v>301</v>
      </c>
      <c r="AN93" s="53" t="s">
        <v>300</v>
      </c>
      <c r="AO93" s="54" t="s">
        <v>301</v>
      </c>
      <c r="AP93" s="53" t="s">
        <v>300</v>
      </c>
      <c r="AQ93" s="54" t="s">
        <v>301</v>
      </c>
      <c r="AR93" s="53" t="s">
        <v>300</v>
      </c>
      <c r="AS93" s="54" t="s">
        <v>301</v>
      </c>
      <c r="AT93" s="53" t="s">
        <v>300</v>
      </c>
      <c r="AU93" s="54" t="s">
        <v>301</v>
      </c>
      <c r="AV93" s="53" t="s">
        <v>300</v>
      </c>
      <c r="AW93" s="54" t="s">
        <v>301</v>
      </c>
      <c r="AX93" s="53" t="s">
        <v>300</v>
      </c>
      <c r="AY93" s="54" t="s">
        <v>301</v>
      </c>
      <c r="AZ93" s="53" t="s">
        <v>300</v>
      </c>
      <c r="BA93" s="54" t="s">
        <v>301</v>
      </c>
      <c r="BB93" s="53" t="s">
        <v>300</v>
      </c>
      <c r="BC93" s="54" t="s">
        <v>301</v>
      </c>
      <c r="BD93" s="53" t="s">
        <v>300</v>
      </c>
      <c r="BE93" s="54" t="s">
        <v>301</v>
      </c>
      <c r="BF93" s="53" t="s">
        <v>300</v>
      </c>
      <c r="BG93" s="54" t="s">
        <v>301</v>
      </c>
      <c r="BH93" s="53" t="s">
        <v>300</v>
      </c>
      <c r="BI93" s="54" t="s">
        <v>301</v>
      </c>
      <c r="BJ93" s="53" t="s">
        <v>300</v>
      </c>
      <c r="BK93" s="54" t="s">
        <v>301</v>
      </c>
      <c r="BL93" s="104" t="s">
        <v>300</v>
      </c>
      <c r="BM93" s="105" t="s">
        <v>301</v>
      </c>
    </row>
    <row r="94" spans="1:65" x14ac:dyDescent="0.25">
      <c r="A94" s="91" t="s">
        <v>274</v>
      </c>
      <c r="B94" s="76">
        <f t="shared" ref="B94:AE94" si="16">B105-B83-B72-B61-B50-B39-B28-B17-B6</f>
        <v>2756</v>
      </c>
      <c r="C94" s="76">
        <f t="shared" si="16"/>
        <v>9734</v>
      </c>
      <c r="D94" s="76">
        <f t="shared" si="16"/>
        <v>501</v>
      </c>
      <c r="E94" s="76">
        <f t="shared" si="16"/>
        <v>1887</v>
      </c>
      <c r="F94" s="76">
        <f t="shared" si="16"/>
        <v>0</v>
      </c>
      <c r="G94" s="76">
        <f t="shared" si="16"/>
        <v>0</v>
      </c>
      <c r="H94" s="76">
        <f t="shared" si="16"/>
        <v>25127</v>
      </c>
      <c r="I94" s="76">
        <f t="shared" si="16"/>
        <v>105546</v>
      </c>
      <c r="J94" s="76">
        <f t="shared" si="16"/>
        <v>2251</v>
      </c>
      <c r="K94" s="76">
        <f t="shared" si="16"/>
        <v>6595</v>
      </c>
      <c r="L94" s="76">
        <f t="shared" si="16"/>
        <v>1328</v>
      </c>
      <c r="M94" s="76">
        <f t="shared" si="16"/>
        <v>4689</v>
      </c>
      <c r="N94" s="76">
        <f t="shared" si="16"/>
        <v>36783.89</v>
      </c>
      <c r="O94" s="76">
        <f t="shared" si="16"/>
        <v>110661.68</v>
      </c>
      <c r="P94" s="76">
        <f t="shared" si="16"/>
        <v>286.63999999999965</v>
      </c>
      <c r="Q94" s="76">
        <f t="shared" si="16"/>
        <v>529.08000000000447</v>
      </c>
      <c r="R94" s="76">
        <f t="shared" si="16"/>
        <v>8780.1300000000047</v>
      </c>
      <c r="S94" s="76">
        <f t="shared" ref="S94" si="17">S105-S83-S72-S61-S50-S39-S28-S17-S6</f>
        <v>32297.499999999985</v>
      </c>
      <c r="T94" s="76">
        <f t="shared" si="16"/>
        <v>31706</v>
      </c>
      <c r="U94" s="76">
        <f t="shared" si="16"/>
        <v>-247499</v>
      </c>
      <c r="V94" s="76">
        <f t="shared" si="16"/>
        <v>11877</v>
      </c>
      <c r="W94" s="76">
        <f t="shared" si="16"/>
        <v>-894223</v>
      </c>
      <c r="X94" s="76">
        <f t="shared" si="16"/>
        <v>25863</v>
      </c>
      <c r="Y94" s="76">
        <f t="shared" si="16"/>
        <v>108380</v>
      </c>
      <c r="Z94" s="76">
        <f t="shared" si="16"/>
        <v>16300</v>
      </c>
      <c r="AA94" s="76">
        <f t="shared" si="16"/>
        <v>81568</v>
      </c>
      <c r="AB94" s="76">
        <f t="shared" si="16"/>
        <v>1014</v>
      </c>
      <c r="AC94" s="76">
        <f t="shared" si="16"/>
        <v>1954</v>
      </c>
      <c r="AD94" s="76">
        <f t="shared" si="16"/>
        <v>2307</v>
      </c>
      <c r="AE94" s="76">
        <f t="shared" si="16"/>
        <v>78991</v>
      </c>
      <c r="AF94" s="76">
        <f t="shared" ref="AF94" si="18">AF105-AF83-AF72-AF61-AF50-AF39-AF28-AF17-AF6</f>
        <v>3324</v>
      </c>
      <c r="AG94" s="76">
        <f t="shared" ref="AG94:BK94" si="19">AG105-AG83-AG72-AG61-AG50-AG39-AG28-AG17-AG6</f>
        <v>6731</v>
      </c>
      <c r="AH94" s="76">
        <f t="shared" si="19"/>
        <v>35.880000000001019</v>
      </c>
      <c r="AI94" s="76">
        <f t="shared" si="19"/>
        <v>260.26999999998952</v>
      </c>
      <c r="AJ94" s="76">
        <f t="shared" si="19"/>
        <v>17</v>
      </c>
      <c r="AK94" s="76">
        <f t="shared" si="19"/>
        <v>17</v>
      </c>
      <c r="AL94" s="76">
        <f t="shared" si="19"/>
        <v>10401.349999999999</v>
      </c>
      <c r="AM94" s="76">
        <f t="shared" si="19"/>
        <v>41607.289999999834</v>
      </c>
      <c r="AN94" s="76">
        <f t="shared" si="19"/>
        <v>35</v>
      </c>
      <c r="AO94" s="76">
        <f t="shared" si="19"/>
        <v>252</v>
      </c>
      <c r="AP94" s="76">
        <f t="shared" si="19"/>
        <v>2035</v>
      </c>
      <c r="AQ94" s="76">
        <f t="shared" si="19"/>
        <v>7425</v>
      </c>
      <c r="AR94" s="76">
        <f t="shared" si="19"/>
        <v>3680</v>
      </c>
      <c r="AS94" s="76">
        <f t="shared" si="19"/>
        <v>16248</v>
      </c>
      <c r="AT94" s="76">
        <f t="shared" si="19"/>
        <v>833</v>
      </c>
      <c r="AU94" s="76">
        <f t="shared" si="19"/>
        <v>2547</v>
      </c>
      <c r="AV94" s="76">
        <f t="shared" si="19"/>
        <v>6067</v>
      </c>
      <c r="AW94" s="76">
        <f t="shared" si="19"/>
        <v>23295.420000000042</v>
      </c>
      <c r="AX94" s="76">
        <f t="shared" si="19"/>
        <v>572</v>
      </c>
      <c r="AY94" s="76">
        <f t="shared" si="19"/>
        <v>1836</v>
      </c>
      <c r="AZ94" s="76">
        <f t="shared" si="19"/>
        <v>8</v>
      </c>
      <c r="BA94" s="76">
        <f t="shared" si="19"/>
        <v>23</v>
      </c>
      <c r="BB94" s="76">
        <f t="shared" si="19"/>
        <v>20932</v>
      </c>
      <c r="BC94" s="76">
        <f t="shared" si="19"/>
        <v>76805</v>
      </c>
      <c r="BD94" s="76">
        <f t="shared" si="19"/>
        <v>50249</v>
      </c>
      <c r="BE94" s="76">
        <f t="shared" si="19"/>
        <v>188835</v>
      </c>
      <c r="BF94" s="76">
        <f t="shared" si="19"/>
        <v>16464</v>
      </c>
      <c r="BG94" s="76">
        <f t="shared" si="19"/>
        <v>59748</v>
      </c>
      <c r="BH94" s="76">
        <f t="shared" si="19"/>
        <v>17718</v>
      </c>
      <c r="BI94" s="76">
        <f t="shared" si="19"/>
        <v>63867</v>
      </c>
      <c r="BJ94" s="76">
        <f t="shared" si="19"/>
        <v>2483</v>
      </c>
      <c r="BK94" s="76">
        <f t="shared" si="19"/>
        <v>5752</v>
      </c>
      <c r="BL94" s="68">
        <f t="shared" ref="BL94:BL100" si="20">SUM(B94+D94+F94+H94+J94+L94+N94+P94+R94+T94+V94+X94+Z94+AB94+AD94+AF94+AH94+AJ94+AL94+AN94+AP94+AR94+AT94+AV94+AX94+AZ94+BB94+BD94+BF94+BH94+BJ94)</f>
        <v>301734.89</v>
      </c>
      <c r="BM94" s="68">
        <f t="shared" ref="BM94:BM100" si="21">SUM(C94+E94+G94+I94+K94+M94+O94+Q94+S94+U94+W94+Y94+AA94+AC94+AE94+AG94+AI94+AK94+AM94+AO94+AQ94+AS94+AU94+AW94+AY94+BA94+BC94+BE94+BG94+BI94+BK94)</f>
        <v>-103640.76000000013</v>
      </c>
    </row>
    <row r="95" spans="1:65" x14ac:dyDescent="0.25">
      <c r="A95" s="91" t="s">
        <v>275</v>
      </c>
      <c r="B95" s="76">
        <f t="shared" ref="B95:AE95" si="22">B106-B84-B73-B62-B51-B40-B29-B18-B7</f>
        <v>0</v>
      </c>
      <c r="C95" s="76">
        <f t="shared" si="22"/>
        <v>0</v>
      </c>
      <c r="D95" s="76">
        <f t="shared" si="22"/>
        <v>0</v>
      </c>
      <c r="E95" s="76">
        <f t="shared" si="22"/>
        <v>0</v>
      </c>
      <c r="F95" s="76">
        <f t="shared" si="22"/>
        <v>0</v>
      </c>
      <c r="G95" s="76">
        <f t="shared" si="22"/>
        <v>0</v>
      </c>
      <c r="H95" s="76">
        <f t="shared" si="22"/>
        <v>78</v>
      </c>
      <c r="I95" s="76">
        <f t="shared" si="22"/>
        <v>168</v>
      </c>
      <c r="J95" s="76">
        <f t="shared" si="22"/>
        <v>0</v>
      </c>
      <c r="K95" s="76">
        <f t="shared" si="22"/>
        <v>0</v>
      </c>
      <c r="L95" s="76">
        <f t="shared" si="22"/>
        <v>0</v>
      </c>
      <c r="M95" s="76">
        <f t="shared" si="22"/>
        <v>126</v>
      </c>
      <c r="N95" s="76">
        <f t="shared" si="22"/>
        <v>0</v>
      </c>
      <c r="O95" s="76">
        <f t="shared" si="22"/>
        <v>0</v>
      </c>
      <c r="P95" s="76">
        <f t="shared" si="22"/>
        <v>7.210000000000008</v>
      </c>
      <c r="Q95" s="76">
        <f t="shared" si="22"/>
        <v>7.2100000000000364</v>
      </c>
      <c r="R95" s="76">
        <f t="shared" si="22"/>
        <v>19.509999999999991</v>
      </c>
      <c r="S95" s="76">
        <f t="shared" ref="S95" si="23">S106-S84-S73-S62-S51-S40-S29-S18-S7</f>
        <v>157.80000000000018</v>
      </c>
      <c r="T95" s="76">
        <f t="shared" si="22"/>
        <v>2029</v>
      </c>
      <c r="U95" s="76">
        <f t="shared" si="22"/>
        <v>-45122</v>
      </c>
      <c r="V95" s="76">
        <f t="shared" si="22"/>
        <v>353</v>
      </c>
      <c r="W95" s="76">
        <f t="shared" si="22"/>
        <v>-14509</v>
      </c>
      <c r="X95" s="76">
        <f t="shared" si="22"/>
        <v>116</v>
      </c>
      <c r="Y95" s="76">
        <f t="shared" si="22"/>
        <v>1816</v>
      </c>
      <c r="Z95" s="76">
        <f t="shared" si="22"/>
        <v>229</v>
      </c>
      <c r="AA95" s="76">
        <f t="shared" si="22"/>
        <v>6065</v>
      </c>
      <c r="AB95" s="76">
        <f t="shared" si="22"/>
        <v>8</v>
      </c>
      <c r="AC95" s="76">
        <f t="shared" si="22"/>
        <v>27</v>
      </c>
      <c r="AD95" s="76">
        <f t="shared" si="22"/>
        <v>72</v>
      </c>
      <c r="AE95" s="76">
        <f t="shared" si="22"/>
        <v>243</v>
      </c>
      <c r="AF95" s="76">
        <f t="shared" ref="AF95" si="24">AF106-AF84-AF73-AF62-AF51-AF40-AF29-AF18-AF7</f>
        <v>25</v>
      </c>
      <c r="AG95" s="76">
        <f t="shared" ref="AG95:BK95" si="25">AG106-AG84-AG73-AG62-AG51-AG40-AG29-AG18-AG7</f>
        <v>203</v>
      </c>
      <c r="AH95" s="76">
        <f t="shared" si="25"/>
        <v>0</v>
      </c>
      <c r="AI95" s="76">
        <f t="shared" si="25"/>
        <v>0</v>
      </c>
      <c r="AJ95" s="76">
        <f t="shared" si="25"/>
        <v>0</v>
      </c>
      <c r="AK95" s="76">
        <f t="shared" si="25"/>
        <v>0</v>
      </c>
      <c r="AL95" s="76">
        <f t="shared" si="25"/>
        <v>433.71000000000095</v>
      </c>
      <c r="AM95" s="76">
        <f t="shared" si="25"/>
        <v>1777.7400000000016</v>
      </c>
      <c r="AN95" s="76">
        <f t="shared" si="25"/>
        <v>0</v>
      </c>
      <c r="AO95" s="76">
        <f t="shared" si="25"/>
        <v>1</v>
      </c>
      <c r="AP95" s="76">
        <f t="shared" si="25"/>
        <v>98</v>
      </c>
      <c r="AQ95" s="76">
        <f t="shared" si="25"/>
        <v>745</v>
      </c>
      <c r="AR95" s="76">
        <f t="shared" si="25"/>
        <v>96</v>
      </c>
      <c r="AS95" s="76">
        <f t="shared" si="25"/>
        <v>380</v>
      </c>
      <c r="AT95" s="76">
        <f t="shared" si="25"/>
        <v>20</v>
      </c>
      <c r="AU95" s="76">
        <f t="shared" si="25"/>
        <v>21</v>
      </c>
      <c r="AV95" s="76">
        <f t="shared" si="25"/>
        <v>169</v>
      </c>
      <c r="AW95" s="76">
        <f t="shared" si="25"/>
        <v>711.88999999999942</v>
      </c>
      <c r="AX95" s="76">
        <f t="shared" si="25"/>
        <v>16</v>
      </c>
      <c r="AY95" s="76">
        <f t="shared" si="25"/>
        <v>15</v>
      </c>
      <c r="AZ95" s="76">
        <f t="shared" si="25"/>
        <v>0</v>
      </c>
      <c r="BA95" s="76">
        <f t="shared" si="25"/>
        <v>0</v>
      </c>
      <c r="BB95" s="76">
        <f t="shared" si="25"/>
        <v>595</v>
      </c>
      <c r="BC95" s="76">
        <f t="shared" si="25"/>
        <v>4750</v>
      </c>
      <c r="BD95" s="76">
        <f t="shared" si="25"/>
        <v>331</v>
      </c>
      <c r="BE95" s="76">
        <f t="shared" si="25"/>
        <v>2416</v>
      </c>
      <c r="BF95" s="76">
        <f t="shared" si="25"/>
        <v>185</v>
      </c>
      <c r="BG95" s="76">
        <f t="shared" si="25"/>
        <v>1046</v>
      </c>
      <c r="BH95" s="76">
        <f t="shared" si="25"/>
        <v>230</v>
      </c>
      <c r="BI95" s="76">
        <f t="shared" si="25"/>
        <v>2016</v>
      </c>
      <c r="BJ95" s="76">
        <f t="shared" si="25"/>
        <v>-1</v>
      </c>
      <c r="BK95" s="76">
        <f t="shared" si="25"/>
        <v>-1</v>
      </c>
      <c r="BL95" s="68">
        <f t="shared" si="20"/>
        <v>5109.43</v>
      </c>
      <c r="BM95" s="68">
        <f t="shared" si="21"/>
        <v>-36939.360000000001</v>
      </c>
    </row>
    <row r="96" spans="1:65" x14ac:dyDescent="0.25">
      <c r="A96" s="91" t="s">
        <v>276</v>
      </c>
      <c r="B96" s="76">
        <f t="shared" ref="B96:AE96" si="26">B107-B85-B74-B63-B52-B41-B30-B19-B8</f>
        <v>1376</v>
      </c>
      <c r="C96" s="76">
        <f t="shared" si="26"/>
        <v>4575</v>
      </c>
      <c r="D96" s="76">
        <f t="shared" si="26"/>
        <v>25</v>
      </c>
      <c r="E96" s="76">
        <f t="shared" si="26"/>
        <v>94</v>
      </c>
      <c r="F96" s="76">
        <f t="shared" si="26"/>
        <v>0</v>
      </c>
      <c r="G96" s="76">
        <f t="shared" si="26"/>
        <v>0</v>
      </c>
      <c r="H96" s="76">
        <f t="shared" si="26"/>
        <v>-14260</v>
      </c>
      <c r="I96" s="76">
        <f t="shared" si="26"/>
        <v>-62625</v>
      </c>
      <c r="J96" s="76">
        <f t="shared" si="26"/>
        <v>305</v>
      </c>
      <c r="K96" s="76">
        <f t="shared" si="26"/>
        <v>897</v>
      </c>
      <c r="L96" s="76">
        <f t="shared" si="26"/>
        <v>277</v>
      </c>
      <c r="M96" s="76">
        <f t="shared" si="26"/>
        <v>1131</v>
      </c>
      <c r="N96" s="76">
        <f t="shared" si="26"/>
        <v>5509.4</v>
      </c>
      <c r="O96" s="76">
        <f t="shared" si="26"/>
        <v>20461.28</v>
      </c>
      <c r="P96" s="76">
        <f t="shared" si="26"/>
        <v>27.510000000000048</v>
      </c>
      <c r="Q96" s="76">
        <f t="shared" si="26"/>
        <v>123.71000000000049</v>
      </c>
      <c r="R96" s="76">
        <f t="shared" si="26"/>
        <v>2619.4699999999993</v>
      </c>
      <c r="S96" s="76">
        <f t="shared" ref="S96" si="27">S107-S85-S74-S63-S52-S41-S30-S19-S8</f>
        <v>10936.979999999981</v>
      </c>
      <c r="T96" s="76">
        <f t="shared" si="26"/>
        <v>14348</v>
      </c>
      <c r="U96" s="76">
        <f t="shared" si="26"/>
        <v>-51520</v>
      </c>
      <c r="V96" s="76">
        <f t="shared" si="26"/>
        <v>-6528</v>
      </c>
      <c r="W96" s="76">
        <f t="shared" si="26"/>
        <v>441533</v>
      </c>
      <c r="X96" s="76">
        <f t="shared" si="26"/>
        <v>10740</v>
      </c>
      <c r="Y96" s="76">
        <f t="shared" si="26"/>
        <v>50233</v>
      </c>
      <c r="Z96" s="76">
        <f t="shared" si="26"/>
        <v>5501</v>
      </c>
      <c r="AA96" s="76">
        <f t="shared" si="26"/>
        <v>-82774</v>
      </c>
      <c r="AB96" s="76">
        <f t="shared" si="26"/>
        <v>705</v>
      </c>
      <c r="AC96" s="76">
        <f t="shared" si="26"/>
        <v>1365</v>
      </c>
      <c r="AD96" s="76">
        <f t="shared" si="26"/>
        <v>858</v>
      </c>
      <c r="AE96" s="76">
        <f t="shared" si="26"/>
        <v>8750</v>
      </c>
      <c r="AF96" s="76">
        <f t="shared" ref="AF96" si="28">AF107-AF85-AF74-AF63-AF52-AF41-AF30-AF19-AF8</f>
        <v>-3180</v>
      </c>
      <c r="AG96" s="76">
        <f t="shared" ref="AG96:BK96" si="29">AG107-AG85-AG74-AG63-AG52-AG41-AG30-AG19-AG8</f>
        <v>-6507</v>
      </c>
      <c r="AH96" s="76">
        <f t="shared" si="29"/>
        <v>1.7799999999999727</v>
      </c>
      <c r="AI96" s="76">
        <f t="shared" si="29"/>
        <v>13.020000000000437</v>
      </c>
      <c r="AJ96" s="76">
        <f t="shared" si="29"/>
        <v>11</v>
      </c>
      <c r="AK96" s="76">
        <f t="shared" si="29"/>
        <v>10</v>
      </c>
      <c r="AL96" s="76">
        <f t="shared" si="29"/>
        <v>2105.6800000000057</v>
      </c>
      <c r="AM96" s="76">
        <f t="shared" si="29"/>
        <v>6188.5499999999884</v>
      </c>
      <c r="AN96" s="76">
        <f t="shared" si="29"/>
        <v>-9</v>
      </c>
      <c r="AO96" s="76">
        <f t="shared" si="29"/>
        <v>-35</v>
      </c>
      <c r="AP96" s="76">
        <f t="shared" si="29"/>
        <v>539</v>
      </c>
      <c r="AQ96" s="76">
        <f t="shared" si="29"/>
        <v>2087</v>
      </c>
      <c r="AR96" s="76">
        <f t="shared" si="29"/>
        <v>296</v>
      </c>
      <c r="AS96" s="76">
        <f t="shared" si="29"/>
        <v>3980</v>
      </c>
      <c r="AT96" s="76">
        <f t="shared" si="29"/>
        <v>509</v>
      </c>
      <c r="AU96" s="76">
        <f t="shared" si="29"/>
        <v>1200</v>
      </c>
      <c r="AV96" s="76">
        <f t="shared" si="29"/>
        <v>2369</v>
      </c>
      <c r="AW96" s="76">
        <f t="shared" si="29"/>
        <v>11056</v>
      </c>
      <c r="AX96" s="76">
        <f t="shared" si="29"/>
        <v>261</v>
      </c>
      <c r="AY96" s="76">
        <f t="shared" si="29"/>
        <v>664</v>
      </c>
      <c r="AZ96" s="76">
        <f t="shared" si="29"/>
        <v>6</v>
      </c>
      <c r="BA96" s="76">
        <f t="shared" si="29"/>
        <v>38</v>
      </c>
      <c r="BB96" s="76">
        <f t="shared" si="29"/>
        <v>12094</v>
      </c>
      <c r="BC96" s="76">
        <f t="shared" si="29"/>
        <v>51439</v>
      </c>
      <c r="BD96" s="76">
        <f t="shared" si="29"/>
        <v>18352</v>
      </c>
      <c r="BE96" s="76">
        <f t="shared" si="29"/>
        <v>65769</v>
      </c>
      <c r="BF96" s="76">
        <f t="shared" si="29"/>
        <v>2001</v>
      </c>
      <c r="BG96" s="76">
        <f t="shared" si="29"/>
        <v>9933</v>
      </c>
      <c r="BH96" s="76">
        <f t="shared" si="29"/>
        <v>5554</v>
      </c>
      <c r="BI96" s="76">
        <f t="shared" si="29"/>
        <v>10555</v>
      </c>
      <c r="BJ96" s="76">
        <f t="shared" si="29"/>
        <v>2061</v>
      </c>
      <c r="BK96" s="76">
        <f t="shared" si="29"/>
        <v>3494</v>
      </c>
      <c r="BL96" s="68">
        <f t="shared" si="20"/>
        <v>64474.840000000004</v>
      </c>
      <c r="BM96" s="68">
        <f t="shared" si="21"/>
        <v>503065.54</v>
      </c>
    </row>
    <row r="97" spans="1:65" s="7" customFormat="1" x14ac:dyDescent="0.25">
      <c r="A97" s="10" t="s">
        <v>277</v>
      </c>
      <c r="B97" s="10">
        <f t="shared" ref="B97:R97" si="30">B108-B86-B75-B64-B53-B42-B31-B20-B9</f>
        <v>1380</v>
      </c>
      <c r="C97" s="10">
        <f t="shared" si="30"/>
        <v>5159</v>
      </c>
      <c r="D97" s="10">
        <f t="shared" si="30"/>
        <v>476</v>
      </c>
      <c r="E97" s="10">
        <f t="shared" si="30"/>
        <v>1793</v>
      </c>
      <c r="F97" s="10">
        <f t="shared" si="30"/>
        <v>0</v>
      </c>
      <c r="G97" s="10">
        <f t="shared" si="30"/>
        <v>0</v>
      </c>
      <c r="H97" s="10">
        <f t="shared" si="30"/>
        <v>10944</v>
      </c>
      <c r="I97" s="10">
        <f t="shared" si="30"/>
        <v>43090</v>
      </c>
      <c r="J97" s="10">
        <f t="shared" si="30"/>
        <v>1946</v>
      </c>
      <c r="K97" s="10">
        <f t="shared" si="30"/>
        <v>5698</v>
      </c>
      <c r="L97" s="10">
        <f t="shared" si="30"/>
        <v>1051</v>
      </c>
      <c r="M97" s="10">
        <f t="shared" si="30"/>
        <v>3686</v>
      </c>
      <c r="N97" s="10">
        <f t="shared" si="30"/>
        <v>31274.49</v>
      </c>
      <c r="O97" s="10">
        <f t="shared" si="30"/>
        <v>90200.4</v>
      </c>
      <c r="P97" s="10">
        <f t="shared" si="30"/>
        <v>266.33999999999969</v>
      </c>
      <c r="Q97" s="10">
        <f t="shared" si="30"/>
        <v>412.58000000000254</v>
      </c>
      <c r="R97" s="10">
        <f t="shared" si="30"/>
        <v>6180.1899999999914</v>
      </c>
      <c r="S97" s="10">
        <f t="shared" ref="S97:AH98" si="31">S108-S86-S75-S64-S53-S42-S31-S20-S9</f>
        <v>21518.330000000031</v>
      </c>
      <c r="T97" s="10">
        <f t="shared" ref="T97:BK97" si="32">T108-T86-T75-T64-T53-T42-T31-T20-T9</f>
        <v>19387</v>
      </c>
      <c r="U97" s="10">
        <f t="shared" si="32"/>
        <v>-241101</v>
      </c>
      <c r="V97" s="10">
        <f t="shared" si="32"/>
        <v>5705</v>
      </c>
      <c r="W97" s="10">
        <f t="shared" si="32"/>
        <v>-467200</v>
      </c>
      <c r="X97" s="10">
        <f t="shared" si="32"/>
        <v>15238</v>
      </c>
      <c r="Y97" s="10">
        <f t="shared" si="32"/>
        <v>59963</v>
      </c>
      <c r="Z97" s="10">
        <f t="shared" si="32"/>
        <v>11028</v>
      </c>
      <c r="AA97" s="10">
        <f t="shared" si="32"/>
        <v>170407</v>
      </c>
      <c r="AB97" s="10">
        <f t="shared" si="32"/>
        <v>317</v>
      </c>
      <c r="AC97" s="10">
        <f t="shared" si="32"/>
        <v>616</v>
      </c>
      <c r="AD97" s="10">
        <f t="shared" si="32"/>
        <v>1522</v>
      </c>
      <c r="AE97" s="10">
        <f t="shared" si="32"/>
        <v>70482</v>
      </c>
      <c r="AF97" s="10">
        <f t="shared" si="32"/>
        <v>170</v>
      </c>
      <c r="AG97" s="10">
        <f t="shared" si="32"/>
        <v>427</v>
      </c>
      <c r="AH97" s="10">
        <f t="shared" si="32"/>
        <v>34.109999999996944</v>
      </c>
      <c r="AI97" s="10">
        <f t="shared" si="32"/>
        <v>247.25999999999476</v>
      </c>
      <c r="AJ97" s="10">
        <f t="shared" si="32"/>
        <v>7</v>
      </c>
      <c r="AK97" s="10">
        <f t="shared" si="32"/>
        <v>7</v>
      </c>
      <c r="AL97" s="10">
        <f t="shared" si="32"/>
        <v>8729.3700000000099</v>
      </c>
      <c r="AM97" s="10">
        <f t="shared" si="32"/>
        <v>37196.499999999738</v>
      </c>
      <c r="AN97" s="10">
        <f t="shared" si="32"/>
        <v>27</v>
      </c>
      <c r="AO97" s="10">
        <f t="shared" si="32"/>
        <v>217</v>
      </c>
      <c r="AP97" s="10">
        <f t="shared" si="32"/>
        <v>1593</v>
      </c>
      <c r="AQ97" s="10">
        <f t="shared" si="32"/>
        <v>6082</v>
      </c>
      <c r="AR97" s="10">
        <f t="shared" si="32"/>
        <v>3481</v>
      </c>
      <c r="AS97" s="10">
        <f t="shared" si="32"/>
        <v>12648</v>
      </c>
      <c r="AT97" s="10">
        <f t="shared" si="32"/>
        <v>345</v>
      </c>
      <c r="AU97" s="10">
        <f t="shared" si="32"/>
        <v>1372</v>
      </c>
      <c r="AV97" s="10">
        <f t="shared" si="32"/>
        <v>3868</v>
      </c>
      <c r="AW97" s="10">
        <f t="shared" si="32"/>
        <v>12951</v>
      </c>
      <c r="AX97" s="10">
        <f t="shared" si="32"/>
        <v>325</v>
      </c>
      <c r="AY97" s="10">
        <f t="shared" si="32"/>
        <v>1188</v>
      </c>
      <c r="AZ97" s="10">
        <f t="shared" si="32"/>
        <v>3</v>
      </c>
      <c r="BA97" s="10">
        <f t="shared" si="32"/>
        <v>-15</v>
      </c>
      <c r="BB97" s="10">
        <f t="shared" si="32"/>
        <v>9433</v>
      </c>
      <c r="BC97" s="10">
        <f t="shared" si="32"/>
        <v>30118</v>
      </c>
      <c r="BD97" s="10">
        <f t="shared" si="32"/>
        <v>32228</v>
      </c>
      <c r="BE97" s="10">
        <f t="shared" si="32"/>
        <v>125481</v>
      </c>
      <c r="BF97" s="10">
        <f t="shared" si="32"/>
        <v>14649</v>
      </c>
      <c r="BG97" s="10">
        <f t="shared" si="32"/>
        <v>50862</v>
      </c>
      <c r="BH97" s="10">
        <f t="shared" si="32"/>
        <v>12393</v>
      </c>
      <c r="BI97" s="10">
        <f t="shared" si="32"/>
        <v>55329</v>
      </c>
      <c r="BJ97" s="10">
        <f t="shared" si="32"/>
        <v>422</v>
      </c>
      <c r="BK97" s="10">
        <f t="shared" si="32"/>
        <v>2259</v>
      </c>
      <c r="BL97" s="63">
        <f t="shared" si="20"/>
        <v>194422.5</v>
      </c>
      <c r="BM97" s="63">
        <f t="shared" si="21"/>
        <v>101094.0699999998</v>
      </c>
    </row>
    <row r="98" spans="1:65" x14ac:dyDescent="0.25">
      <c r="A98" s="91" t="s">
        <v>278</v>
      </c>
      <c r="B98" s="91">
        <f t="shared" ref="B98:R98" si="33">B109-B87-B76-B65-B54-B43-B32-B21-B10</f>
        <v>1647</v>
      </c>
      <c r="C98" s="91">
        <f t="shared" si="33"/>
        <v>1067</v>
      </c>
      <c r="D98" s="91">
        <f t="shared" si="33"/>
        <v>43</v>
      </c>
      <c r="E98" s="91">
        <f t="shared" si="33"/>
        <v>280</v>
      </c>
      <c r="F98" s="91">
        <f t="shared" si="33"/>
        <v>0</v>
      </c>
      <c r="G98" s="91">
        <f t="shared" si="33"/>
        <v>0</v>
      </c>
      <c r="H98" s="91">
        <f t="shared" si="33"/>
        <v>32544</v>
      </c>
      <c r="I98" s="91">
        <f t="shared" si="33"/>
        <v>30171</v>
      </c>
      <c r="J98" s="91">
        <f t="shared" si="33"/>
        <v>1371</v>
      </c>
      <c r="K98" s="91">
        <f t="shared" si="33"/>
        <v>432</v>
      </c>
      <c r="L98" s="91">
        <f t="shared" si="33"/>
        <v>2632</v>
      </c>
      <c r="M98" s="91">
        <f t="shared" si="33"/>
        <v>3086</v>
      </c>
      <c r="N98" s="91">
        <f t="shared" si="33"/>
        <v>14603.2</v>
      </c>
      <c r="O98" s="91">
        <f t="shared" si="33"/>
        <v>43116.160000000003</v>
      </c>
      <c r="P98" s="91">
        <f t="shared" si="33"/>
        <v>2.379999999999086</v>
      </c>
      <c r="Q98" s="91">
        <f t="shared" si="33"/>
        <v>3.2999999999988745</v>
      </c>
      <c r="R98" s="91">
        <f t="shared" si="33"/>
        <v>18609.989999999998</v>
      </c>
      <c r="S98" s="91">
        <f t="shared" si="31"/>
        <v>16260.280000000006</v>
      </c>
      <c r="T98" s="91">
        <f t="shared" si="31"/>
        <v>15305</v>
      </c>
      <c r="U98" s="91">
        <f t="shared" si="31"/>
        <v>50076</v>
      </c>
      <c r="V98" s="91">
        <f t="shared" si="31"/>
        <v>21494</v>
      </c>
      <c r="W98" s="91">
        <f t="shared" si="31"/>
        <v>-4636</v>
      </c>
      <c r="X98" s="91">
        <f t="shared" si="31"/>
        <v>60814</v>
      </c>
      <c r="Y98" s="91">
        <f t="shared" si="31"/>
        <v>52338</v>
      </c>
      <c r="Z98" s="91">
        <f t="shared" si="31"/>
        <v>0</v>
      </c>
      <c r="AA98" s="91">
        <f t="shared" si="31"/>
        <v>58210</v>
      </c>
      <c r="AB98" s="91">
        <f t="shared" si="31"/>
        <v>1982</v>
      </c>
      <c r="AC98" s="91">
        <f t="shared" si="31"/>
        <v>2106</v>
      </c>
      <c r="AD98" s="91">
        <f t="shared" si="31"/>
        <v>2277</v>
      </c>
      <c r="AE98" s="91">
        <f t="shared" si="31"/>
        <v>6409</v>
      </c>
      <c r="AF98" s="91">
        <f t="shared" si="31"/>
        <v>169</v>
      </c>
      <c r="AG98" s="91">
        <f t="shared" si="31"/>
        <v>186</v>
      </c>
      <c r="AH98" s="91">
        <f t="shared" si="31"/>
        <v>87.369999999995343</v>
      </c>
      <c r="AI98" s="91">
        <f t="shared" ref="AI98:BK98" si="34">AI109-AI87-AI76-AI65-AI54-AI43-AI32-AI21-AI10</f>
        <v>61.380000000004657</v>
      </c>
      <c r="AJ98" s="91">
        <f t="shared" si="34"/>
        <v>0</v>
      </c>
      <c r="AK98" s="91">
        <f t="shared" si="34"/>
        <v>0</v>
      </c>
      <c r="AL98" s="91">
        <f t="shared" si="34"/>
        <v>18400.110000000066</v>
      </c>
      <c r="AM98" s="91">
        <f t="shared" si="34"/>
        <v>16117.520000000019</v>
      </c>
      <c r="AN98" s="91">
        <f t="shared" si="34"/>
        <v>255</v>
      </c>
      <c r="AO98" s="91">
        <f t="shared" si="34"/>
        <v>437</v>
      </c>
      <c r="AP98" s="91">
        <f t="shared" si="34"/>
        <v>4404</v>
      </c>
      <c r="AQ98" s="91">
        <f t="shared" si="34"/>
        <v>4154</v>
      </c>
      <c r="AR98" s="91">
        <f t="shared" si="34"/>
        <v>4518</v>
      </c>
      <c r="AS98" s="91">
        <f t="shared" si="34"/>
        <v>3586</v>
      </c>
      <c r="AT98" s="91">
        <f t="shared" si="34"/>
        <v>550</v>
      </c>
      <c r="AU98" s="91">
        <f t="shared" si="34"/>
        <v>533</v>
      </c>
      <c r="AV98" s="91">
        <f t="shared" si="34"/>
        <v>8133</v>
      </c>
      <c r="AW98" s="91">
        <f t="shared" si="34"/>
        <v>12776</v>
      </c>
      <c r="AX98" s="91">
        <f t="shared" si="34"/>
        <v>0</v>
      </c>
      <c r="AY98" s="91">
        <f t="shared" si="34"/>
        <v>651</v>
      </c>
      <c r="AZ98" s="91">
        <f t="shared" si="34"/>
        <v>3</v>
      </c>
      <c r="BA98" s="91">
        <f t="shared" si="34"/>
        <v>22</v>
      </c>
      <c r="BB98" s="91">
        <f t="shared" si="34"/>
        <v>11987</v>
      </c>
      <c r="BC98" s="91">
        <f t="shared" si="34"/>
        <v>12592</v>
      </c>
      <c r="BD98" s="91">
        <f t="shared" si="34"/>
        <v>61822</v>
      </c>
      <c r="BE98" s="91">
        <f t="shared" si="34"/>
        <v>65915</v>
      </c>
      <c r="BF98" s="91">
        <f t="shared" si="34"/>
        <v>0</v>
      </c>
      <c r="BG98" s="91">
        <f t="shared" si="34"/>
        <v>0</v>
      </c>
      <c r="BH98" s="91">
        <f t="shared" si="34"/>
        <v>39501</v>
      </c>
      <c r="BI98" s="91">
        <f t="shared" si="34"/>
        <v>27269</v>
      </c>
      <c r="BJ98" s="91">
        <f t="shared" si="34"/>
        <v>2296</v>
      </c>
      <c r="BK98" s="91">
        <f t="shared" si="34"/>
        <v>2998</v>
      </c>
      <c r="BL98" s="68">
        <f t="shared" si="20"/>
        <v>325450.05000000005</v>
      </c>
      <c r="BM98" s="68">
        <f t="shared" si="21"/>
        <v>406216.64</v>
      </c>
    </row>
    <row r="99" spans="1:65" x14ac:dyDescent="0.25">
      <c r="A99" s="2" t="s">
        <v>279</v>
      </c>
      <c r="B99" s="91">
        <f t="shared" ref="B99:AE99" si="35">B110-B88-B77-B66-B55-B44-B33-B22-B11</f>
        <v>1843</v>
      </c>
      <c r="C99" s="91">
        <f t="shared" si="35"/>
        <v>1843</v>
      </c>
      <c r="D99" s="91">
        <f t="shared" si="35"/>
        <v>31</v>
      </c>
      <c r="E99" s="91">
        <f t="shared" si="35"/>
        <v>31</v>
      </c>
      <c r="F99" s="91">
        <f t="shared" si="35"/>
        <v>0</v>
      </c>
      <c r="G99" s="91">
        <f t="shared" si="35"/>
        <v>0</v>
      </c>
      <c r="H99" s="91">
        <f t="shared" si="35"/>
        <v>32816</v>
      </c>
      <c r="I99" s="91">
        <f t="shared" si="35"/>
        <v>32816</v>
      </c>
      <c r="J99" s="91">
        <f t="shared" si="35"/>
        <v>1714</v>
      </c>
      <c r="K99" s="91">
        <f t="shared" si="35"/>
        <v>1714</v>
      </c>
      <c r="L99" s="91">
        <f t="shared" si="35"/>
        <v>2668</v>
      </c>
      <c r="M99" s="91">
        <f t="shared" si="35"/>
        <v>2668</v>
      </c>
      <c r="N99" s="91">
        <f t="shared" si="35"/>
        <v>15637.25</v>
      </c>
      <c r="O99" s="91">
        <f t="shared" si="35"/>
        <v>45100.2</v>
      </c>
      <c r="P99" s="91">
        <f t="shared" si="35"/>
        <v>64.560000000000628</v>
      </c>
      <c r="Q99" s="91">
        <f t="shared" si="35"/>
        <v>64.560000000000628</v>
      </c>
      <c r="R99" s="91">
        <f t="shared" si="35"/>
        <v>17248.900000000016</v>
      </c>
      <c r="S99" s="91">
        <f t="shared" si="35"/>
        <v>17248.900000000016</v>
      </c>
      <c r="T99" s="91">
        <f t="shared" si="35"/>
        <v>23532</v>
      </c>
      <c r="U99" s="91">
        <f t="shared" si="35"/>
        <v>23532</v>
      </c>
      <c r="V99" s="91">
        <f t="shared" si="35"/>
        <v>-21940</v>
      </c>
      <c r="W99" s="91">
        <f t="shared" si="35"/>
        <v>-21940</v>
      </c>
      <c r="X99" s="91">
        <f t="shared" si="35"/>
        <v>59680</v>
      </c>
      <c r="Y99" s="91">
        <f t="shared" si="35"/>
        <v>59680</v>
      </c>
      <c r="Z99" s="91">
        <f t="shared" si="35"/>
        <v>324</v>
      </c>
      <c r="AA99" s="91">
        <f t="shared" si="35"/>
        <v>83946</v>
      </c>
      <c r="AB99" s="91">
        <f t="shared" si="35"/>
        <v>2196</v>
      </c>
      <c r="AC99" s="91">
        <f t="shared" si="35"/>
        <v>2196</v>
      </c>
      <c r="AD99" s="91">
        <f t="shared" si="35"/>
        <v>2610</v>
      </c>
      <c r="AE99" s="91">
        <f t="shared" si="35"/>
        <v>2610</v>
      </c>
      <c r="AF99" s="91">
        <f t="shared" ref="AF99:AU99" si="36">AF110-AF88-AF77-AF66-AF55-AF44-AF33-AF22-AF11</f>
        <v>-226</v>
      </c>
      <c r="AG99" s="91">
        <f t="shared" si="36"/>
        <v>-226</v>
      </c>
      <c r="AH99" s="91">
        <f t="shared" si="36"/>
        <v>92.989999999997963</v>
      </c>
      <c r="AI99" s="91">
        <f t="shared" si="36"/>
        <v>92.989999999997963</v>
      </c>
      <c r="AJ99" s="91">
        <f t="shared" si="36"/>
        <v>3</v>
      </c>
      <c r="AK99" s="91">
        <f t="shared" si="36"/>
        <v>3</v>
      </c>
      <c r="AL99" s="91">
        <f t="shared" si="36"/>
        <v>16017.959999999941</v>
      </c>
      <c r="AM99" s="91">
        <f t="shared" si="36"/>
        <v>16017.959999999941</v>
      </c>
      <c r="AN99" s="91">
        <f t="shared" si="36"/>
        <v>-225</v>
      </c>
      <c r="AO99" s="91">
        <f t="shared" si="36"/>
        <v>-225</v>
      </c>
      <c r="AP99" s="91">
        <f t="shared" si="36"/>
        <v>4562</v>
      </c>
      <c r="AQ99" s="91">
        <f t="shared" si="36"/>
        <v>4562</v>
      </c>
      <c r="AR99" s="91">
        <f t="shared" si="36"/>
        <v>4554</v>
      </c>
      <c r="AS99" s="91">
        <f t="shared" si="36"/>
        <v>4554</v>
      </c>
      <c r="AT99" s="91">
        <f t="shared" si="36"/>
        <v>562</v>
      </c>
      <c r="AU99" s="91">
        <f t="shared" si="36"/>
        <v>562</v>
      </c>
      <c r="AV99" s="91">
        <f t="shared" ref="AV99:BK99" si="37">AV110-AV88-AV77-AV66-AV55-AV44-AV33-AV22-AV11</f>
        <v>8363</v>
      </c>
      <c r="AW99" s="91">
        <f t="shared" si="37"/>
        <v>8363</v>
      </c>
      <c r="AX99" s="91">
        <f t="shared" si="37"/>
        <v>4</v>
      </c>
      <c r="AY99" s="91">
        <f t="shared" si="37"/>
        <v>579</v>
      </c>
      <c r="AZ99" s="91">
        <f t="shared" si="37"/>
        <v>3</v>
      </c>
      <c r="BA99" s="91">
        <f t="shared" si="37"/>
        <v>3</v>
      </c>
      <c r="BB99" s="91">
        <f t="shared" si="37"/>
        <v>14116</v>
      </c>
      <c r="BC99" s="91">
        <f t="shared" si="37"/>
        <v>14116</v>
      </c>
      <c r="BD99" s="91">
        <f t="shared" si="37"/>
        <v>61146</v>
      </c>
      <c r="BE99" s="91">
        <f t="shared" si="37"/>
        <v>61146</v>
      </c>
      <c r="BF99" s="91">
        <f t="shared" si="37"/>
        <v>504</v>
      </c>
      <c r="BG99" s="91">
        <f t="shared" si="37"/>
        <v>317</v>
      </c>
      <c r="BH99" s="91">
        <f t="shared" si="37"/>
        <v>28348</v>
      </c>
      <c r="BI99" s="91">
        <f t="shared" si="37"/>
        <v>28348</v>
      </c>
      <c r="BJ99" s="91">
        <f t="shared" si="37"/>
        <v>-2350</v>
      </c>
      <c r="BK99" s="91">
        <f t="shared" si="37"/>
        <v>-2350</v>
      </c>
      <c r="BL99" s="68">
        <f t="shared" si="20"/>
        <v>273899.65999999992</v>
      </c>
      <c r="BM99" s="68">
        <f t="shared" si="21"/>
        <v>387372.60999999993</v>
      </c>
    </row>
    <row r="100" spans="1:65" s="7" customFormat="1" x14ac:dyDescent="0.25">
      <c r="A100" s="10" t="s">
        <v>192</v>
      </c>
      <c r="B100" s="10">
        <f t="shared" ref="B100:AE100" si="38">B111-B89-B78-B67-B56-B45-B34-B23-B12</f>
        <v>1184</v>
      </c>
      <c r="C100" s="10">
        <f t="shared" si="38"/>
        <v>4383</v>
      </c>
      <c r="D100" s="10">
        <f t="shared" si="38"/>
        <v>488</v>
      </c>
      <c r="E100" s="10">
        <f t="shared" si="38"/>
        <v>2042</v>
      </c>
      <c r="F100" s="10">
        <f t="shared" si="38"/>
        <v>0</v>
      </c>
      <c r="G100" s="10">
        <f t="shared" si="38"/>
        <v>0</v>
      </c>
      <c r="H100" s="10">
        <f t="shared" si="38"/>
        <v>10673</v>
      </c>
      <c r="I100" s="10">
        <f t="shared" si="38"/>
        <v>40446</v>
      </c>
      <c r="J100" s="10">
        <f t="shared" si="38"/>
        <v>1603</v>
      </c>
      <c r="K100" s="10">
        <f t="shared" si="38"/>
        <v>4416</v>
      </c>
      <c r="L100" s="10">
        <f t="shared" si="38"/>
        <v>1017</v>
      </c>
      <c r="M100" s="10">
        <f t="shared" si="38"/>
        <v>4103</v>
      </c>
      <c r="N100" s="10">
        <f t="shared" si="38"/>
        <v>30240.44</v>
      </c>
      <c r="O100" s="10">
        <f t="shared" si="38"/>
        <v>88216.36</v>
      </c>
      <c r="P100" s="10">
        <f t="shared" si="38"/>
        <v>204.15999999999994</v>
      </c>
      <c r="Q100" s="10">
        <f t="shared" si="38"/>
        <v>351.3200000000017</v>
      </c>
      <c r="R100" s="10">
        <f t="shared" si="38"/>
        <v>7541.2799999999925</v>
      </c>
      <c r="S100" s="10">
        <f t="shared" ref="S100" si="39">S111-S89-S78-S67-S56-S45-S34-S23-S12</f>
        <v>20529.719999999958</v>
      </c>
      <c r="T100" s="10">
        <f t="shared" si="38"/>
        <v>11160</v>
      </c>
      <c r="U100" s="10">
        <f t="shared" si="38"/>
        <v>-214557</v>
      </c>
      <c r="V100" s="10">
        <f t="shared" si="38"/>
        <v>5261</v>
      </c>
      <c r="W100" s="10">
        <f t="shared" si="38"/>
        <v>-493776</v>
      </c>
      <c r="X100" s="10">
        <f t="shared" si="38"/>
        <v>16374</v>
      </c>
      <c r="Y100" s="10">
        <f t="shared" si="38"/>
        <v>56093</v>
      </c>
      <c r="Z100" s="10">
        <f t="shared" si="38"/>
        <v>10704</v>
      </c>
      <c r="AA100" s="10">
        <f t="shared" si="38"/>
        <v>144671</v>
      </c>
      <c r="AB100" s="10">
        <f t="shared" si="38"/>
        <v>101</v>
      </c>
      <c r="AC100" s="10">
        <f t="shared" si="38"/>
        <v>525</v>
      </c>
      <c r="AD100" s="10">
        <f t="shared" si="38"/>
        <v>1188</v>
      </c>
      <c r="AE100" s="10">
        <f t="shared" si="38"/>
        <v>74282</v>
      </c>
      <c r="AF100" s="10">
        <f t="shared" ref="AF100" si="40">AF111-AF89-AF78-AF67-AF56-AF45-AF34-AF23-AF12</f>
        <v>115</v>
      </c>
      <c r="AG100" s="10">
        <f t="shared" ref="AG100:BK100" si="41">AG111-AG89-AG78-AG67-AG56-AG45-AG34-AG23-AG12</f>
        <v>387</v>
      </c>
      <c r="AH100" s="10">
        <f t="shared" si="41"/>
        <v>28.5</v>
      </c>
      <c r="AI100" s="10">
        <f t="shared" si="41"/>
        <v>215.63999999999942</v>
      </c>
      <c r="AJ100" s="10">
        <f t="shared" si="41"/>
        <v>3</v>
      </c>
      <c r="AK100" s="10">
        <f t="shared" si="41"/>
        <v>4</v>
      </c>
      <c r="AL100" s="10">
        <f t="shared" si="41"/>
        <v>11111.510000000038</v>
      </c>
      <c r="AM100" s="10">
        <f t="shared" si="41"/>
        <v>37296.049999999756</v>
      </c>
      <c r="AN100" s="10">
        <f t="shared" si="41"/>
        <v>58</v>
      </c>
      <c r="AO100" s="10">
        <f t="shared" si="41"/>
        <v>432</v>
      </c>
      <c r="AP100" s="10">
        <f t="shared" si="41"/>
        <v>1437</v>
      </c>
      <c r="AQ100" s="10">
        <f t="shared" si="41"/>
        <v>5675</v>
      </c>
      <c r="AR100" s="10">
        <f t="shared" si="41"/>
        <v>3445</v>
      </c>
      <c r="AS100" s="10">
        <f t="shared" si="41"/>
        <v>11680</v>
      </c>
      <c r="AT100" s="10">
        <f t="shared" si="41"/>
        <v>334</v>
      </c>
      <c r="AU100" s="10">
        <f t="shared" si="41"/>
        <v>1344</v>
      </c>
      <c r="AV100" s="10">
        <f t="shared" si="41"/>
        <v>3641</v>
      </c>
      <c r="AW100" s="10">
        <f t="shared" si="41"/>
        <v>17365</v>
      </c>
      <c r="AX100" s="10">
        <f t="shared" si="41"/>
        <v>321</v>
      </c>
      <c r="AY100" s="10">
        <f t="shared" si="41"/>
        <v>1259</v>
      </c>
      <c r="AZ100" s="10">
        <f t="shared" si="41"/>
        <v>3</v>
      </c>
      <c r="BA100" s="10">
        <f t="shared" si="41"/>
        <v>5</v>
      </c>
      <c r="BB100" s="10">
        <f t="shared" si="41"/>
        <v>7304</v>
      </c>
      <c r="BC100" s="10">
        <f t="shared" si="41"/>
        <v>28592</v>
      </c>
      <c r="BD100" s="10">
        <f t="shared" si="41"/>
        <v>32906</v>
      </c>
      <c r="BE100" s="10">
        <f t="shared" si="41"/>
        <v>130252</v>
      </c>
      <c r="BF100" s="10">
        <f t="shared" si="41"/>
        <v>14145</v>
      </c>
      <c r="BG100" s="10">
        <f t="shared" si="41"/>
        <v>50546</v>
      </c>
      <c r="BH100" s="10">
        <f t="shared" si="41"/>
        <v>23547</v>
      </c>
      <c r="BI100" s="10">
        <f t="shared" si="41"/>
        <v>54252</v>
      </c>
      <c r="BJ100" s="10">
        <f t="shared" si="41"/>
        <v>368</v>
      </c>
      <c r="BK100" s="10">
        <f t="shared" si="41"/>
        <v>2908</v>
      </c>
      <c r="BL100" s="63">
        <f t="shared" si="20"/>
        <v>196505.89000000004</v>
      </c>
      <c r="BM100" s="63">
        <f t="shared" si="21"/>
        <v>73938.089999999676</v>
      </c>
    </row>
    <row r="102" spans="1:65" x14ac:dyDescent="0.25">
      <c r="A102" s="23" t="s">
        <v>40</v>
      </c>
    </row>
    <row r="103" spans="1:65" x14ac:dyDescent="0.25">
      <c r="A103" s="1" t="s">
        <v>0</v>
      </c>
      <c r="B103" s="154" t="s">
        <v>1</v>
      </c>
      <c r="C103" s="155"/>
      <c r="D103" s="154" t="s">
        <v>234</v>
      </c>
      <c r="E103" s="155"/>
      <c r="F103" s="154" t="s">
        <v>2</v>
      </c>
      <c r="G103" s="155"/>
      <c r="H103" s="154" t="s">
        <v>3</v>
      </c>
      <c r="I103" s="155"/>
      <c r="J103" s="154" t="s">
        <v>243</v>
      </c>
      <c r="K103" s="155"/>
      <c r="L103" s="154" t="s">
        <v>235</v>
      </c>
      <c r="M103" s="155"/>
      <c r="N103" s="154" t="s">
        <v>5</v>
      </c>
      <c r="O103" s="155"/>
      <c r="P103" s="154" t="s">
        <v>4</v>
      </c>
      <c r="Q103" s="155"/>
      <c r="R103" s="154" t="s">
        <v>6</v>
      </c>
      <c r="S103" s="155"/>
      <c r="T103" s="154" t="s">
        <v>246</v>
      </c>
      <c r="U103" s="155"/>
      <c r="V103" s="154" t="s">
        <v>7</v>
      </c>
      <c r="W103" s="155"/>
      <c r="X103" s="154" t="s">
        <v>8</v>
      </c>
      <c r="Y103" s="155"/>
      <c r="Z103" s="154" t="s">
        <v>9</v>
      </c>
      <c r="AA103" s="155"/>
      <c r="AB103" s="154" t="s">
        <v>242</v>
      </c>
      <c r="AC103" s="155"/>
      <c r="AD103" s="154" t="s">
        <v>10</v>
      </c>
      <c r="AE103" s="155"/>
      <c r="AF103" s="154" t="s">
        <v>11</v>
      </c>
      <c r="AG103" s="155"/>
      <c r="AH103" s="154" t="s">
        <v>236</v>
      </c>
      <c r="AI103" s="155"/>
      <c r="AJ103" s="154" t="s">
        <v>245</v>
      </c>
      <c r="AK103" s="155"/>
      <c r="AL103" s="154" t="s">
        <v>12</v>
      </c>
      <c r="AM103" s="155"/>
      <c r="AN103" s="154" t="s">
        <v>237</v>
      </c>
      <c r="AO103" s="155"/>
      <c r="AP103" s="154" t="s">
        <v>238</v>
      </c>
      <c r="AQ103" s="155"/>
      <c r="AR103" s="154" t="s">
        <v>241</v>
      </c>
      <c r="AS103" s="155"/>
      <c r="AT103" s="154" t="s">
        <v>13</v>
      </c>
      <c r="AU103" s="155"/>
      <c r="AV103" s="154" t="s">
        <v>14</v>
      </c>
      <c r="AW103" s="155"/>
      <c r="AX103" s="154" t="s">
        <v>15</v>
      </c>
      <c r="AY103" s="155"/>
      <c r="AZ103" s="154" t="s">
        <v>16</v>
      </c>
      <c r="BA103" s="155"/>
      <c r="BB103" s="154" t="s">
        <v>17</v>
      </c>
      <c r="BC103" s="155"/>
      <c r="BD103" s="154" t="s">
        <v>239</v>
      </c>
      <c r="BE103" s="155"/>
      <c r="BF103" s="154" t="s">
        <v>240</v>
      </c>
      <c r="BG103" s="155"/>
      <c r="BH103" s="154" t="s">
        <v>18</v>
      </c>
      <c r="BI103" s="155"/>
      <c r="BJ103" s="154" t="s">
        <v>19</v>
      </c>
      <c r="BK103" s="155"/>
      <c r="BL103" s="156" t="s">
        <v>20</v>
      </c>
      <c r="BM103" s="157"/>
    </row>
    <row r="104" spans="1:65" ht="30" x14ac:dyDescent="0.25">
      <c r="A104" s="1"/>
      <c r="B104" s="53" t="s">
        <v>300</v>
      </c>
      <c r="C104" s="54" t="s">
        <v>301</v>
      </c>
      <c r="D104" s="53" t="s">
        <v>300</v>
      </c>
      <c r="E104" s="54" t="s">
        <v>301</v>
      </c>
      <c r="F104" s="53" t="s">
        <v>300</v>
      </c>
      <c r="G104" s="54" t="s">
        <v>301</v>
      </c>
      <c r="H104" s="53" t="s">
        <v>300</v>
      </c>
      <c r="I104" s="54" t="s">
        <v>301</v>
      </c>
      <c r="J104" s="53" t="s">
        <v>300</v>
      </c>
      <c r="K104" s="54" t="s">
        <v>301</v>
      </c>
      <c r="L104" s="53" t="s">
        <v>300</v>
      </c>
      <c r="M104" s="54" t="s">
        <v>301</v>
      </c>
      <c r="N104" s="53" t="s">
        <v>300</v>
      </c>
      <c r="O104" s="54" t="s">
        <v>301</v>
      </c>
      <c r="P104" s="53" t="s">
        <v>300</v>
      </c>
      <c r="Q104" s="54" t="s">
        <v>301</v>
      </c>
      <c r="R104" s="53" t="s">
        <v>300</v>
      </c>
      <c r="S104" s="54" t="s">
        <v>301</v>
      </c>
      <c r="T104" s="53" t="s">
        <v>300</v>
      </c>
      <c r="U104" s="54" t="s">
        <v>301</v>
      </c>
      <c r="V104" s="53" t="s">
        <v>300</v>
      </c>
      <c r="W104" s="54" t="s">
        <v>301</v>
      </c>
      <c r="X104" s="53" t="s">
        <v>300</v>
      </c>
      <c r="Y104" s="54" t="s">
        <v>301</v>
      </c>
      <c r="Z104" s="53" t="s">
        <v>300</v>
      </c>
      <c r="AA104" s="54" t="s">
        <v>301</v>
      </c>
      <c r="AB104" s="53" t="s">
        <v>300</v>
      </c>
      <c r="AC104" s="54" t="s">
        <v>301</v>
      </c>
      <c r="AD104" s="53" t="s">
        <v>300</v>
      </c>
      <c r="AE104" s="54" t="s">
        <v>301</v>
      </c>
      <c r="AF104" s="53" t="s">
        <v>300</v>
      </c>
      <c r="AG104" s="54" t="s">
        <v>301</v>
      </c>
      <c r="AH104" s="53" t="s">
        <v>300</v>
      </c>
      <c r="AI104" s="54" t="s">
        <v>301</v>
      </c>
      <c r="AJ104" s="53" t="s">
        <v>300</v>
      </c>
      <c r="AK104" s="54" t="s">
        <v>301</v>
      </c>
      <c r="AL104" s="53" t="s">
        <v>300</v>
      </c>
      <c r="AM104" s="54" t="s">
        <v>301</v>
      </c>
      <c r="AN104" s="53" t="s">
        <v>300</v>
      </c>
      <c r="AO104" s="54" t="s">
        <v>301</v>
      </c>
      <c r="AP104" s="53" t="s">
        <v>300</v>
      </c>
      <c r="AQ104" s="54" t="s">
        <v>301</v>
      </c>
      <c r="AR104" s="53" t="s">
        <v>300</v>
      </c>
      <c r="AS104" s="54" t="s">
        <v>301</v>
      </c>
      <c r="AT104" s="53" t="s">
        <v>300</v>
      </c>
      <c r="AU104" s="54" t="s">
        <v>301</v>
      </c>
      <c r="AV104" s="53" t="s">
        <v>300</v>
      </c>
      <c r="AW104" s="54" t="s">
        <v>301</v>
      </c>
      <c r="AX104" s="53" t="s">
        <v>300</v>
      </c>
      <c r="AY104" s="54" t="s">
        <v>301</v>
      </c>
      <c r="AZ104" s="53" t="s">
        <v>300</v>
      </c>
      <c r="BA104" s="54" t="s">
        <v>301</v>
      </c>
      <c r="BB104" s="53" t="s">
        <v>300</v>
      </c>
      <c r="BC104" s="54" t="s">
        <v>301</v>
      </c>
      <c r="BD104" s="53" t="s">
        <v>300</v>
      </c>
      <c r="BE104" s="54" t="s">
        <v>301</v>
      </c>
      <c r="BF104" s="53" t="s">
        <v>300</v>
      </c>
      <c r="BG104" s="54" t="s">
        <v>301</v>
      </c>
      <c r="BH104" s="53" t="s">
        <v>300</v>
      </c>
      <c r="BI104" s="54" t="s">
        <v>301</v>
      </c>
      <c r="BJ104" s="53" t="s">
        <v>300</v>
      </c>
      <c r="BK104" s="54" t="s">
        <v>301</v>
      </c>
      <c r="BL104" s="104" t="s">
        <v>300</v>
      </c>
      <c r="BM104" s="105" t="s">
        <v>301</v>
      </c>
    </row>
    <row r="105" spans="1:65" x14ac:dyDescent="0.25">
      <c r="A105" s="91" t="s">
        <v>274</v>
      </c>
      <c r="B105" s="91">
        <v>28980</v>
      </c>
      <c r="C105" s="91">
        <v>98822</v>
      </c>
      <c r="D105" s="91">
        <v>55681</v>
      </c>
      <c r="E105" s="91">
        <v>172667</v>
      </c>
      <c r="F105" s="91">
        <v>406809</v>
      </c>
      <c r="G105" s="91">
        <v>1394021</v>
      </c>
      <c r="H105" s="91">
        <v>326891</v>
      </c>
      <c r="I105" s="91">
        <v>1368859</v>
      </c>
      <c r="J105" s="91">
        <v>123150</v>
      </c>
      <c r="K105" s="91">
        <v>388091</v>
      </c>
      <c r="L105" s="91">
        <v>127020</v>
      </c>
      <c r="M105" s="91">
        <v>438821</v>
      </c>
      <c r="N105" s="91">
        <v>36783.89</v>
      </c>
      <c r="O105" s="91">
        <v>110661.68</v>
      </c>
      <c r="P105" s="90">
        <v>8205.65</v>
      </c>
      <c r="Q105" s="90">
        <v>34888.370000000003</v>
      </c>
      <c r="R105" s="91">
        <v>123197.03</v>
      </c>
      <c r="S105" s="91">
        <v>413798.23</v>
      </c>
      <c r="T105" s="91">
        <v>150376</v>
      </c>
      <c r="U105" s="91">
        <v>150376</v>
      </c>
      <c r="V105" s="91">
        <v>395043</v>
      </c>
      <c r="W105" s="91">
        <v>395043</v>
      </c>
      <c r="X105" s="91">
        <v>466565</v>
      </c>
      <c r="Y105" s="91">
        <v>1797686</v>
      </c>
      <c r="Z105" s="91">
        <v>213842</v>
      </c>
      <c r="AA105" s="91">
        <v>845291</v>
      </c>
      <c r="AB105" s="91">
        <v>24192</v>
      </c>
      <c r="AC105" s="91">
        <v>74247</v>
      </c>
      <c r="AD105" s="91">
        <v>43509</v>
      </c>
      <c r="AE105" s="91">
        <v>150646</v>
      </c>
      <c r="AF105" s="91">
        <v>59825</v>
      </c>
      <c r="AG105" s="91">
        <v>175717</v>
      </c>
      <c r="AH105" s="91">
        <v>29610.12</v>
      </c>
      <c r="AI105" s="91">
        <v>98617.73</v>
      </c>
      <c r="AJ105" s="91">
        <v>89237</v>
      </c>
      <c r="AK105" s="91">
        <v>280997</v>
      </c>
      <c r="AL105" s="91">
        <v>300565.93</v>
      </c>
      <c r="AM105" s="91">
        <v>1307683.1599999999</v>
      </c>
      <c r="AN105" s="91">
        <v>4066</v>
      </c>
      <c r="AO105" s="91">
        <v>10657</v>
      </c>
      <c r="AP105" s="91">
        <v>10425</v>
      </c>
      <c r="AQ105" s="91">
        <v>37583</v>
      </c>
      <c r="AR105" s="76">
        <v>220563</v>
      </c>
      <c r="AS105" s="76">
        <v>940896</v>
      </c>
      <c r="AT105" s="91">
        <v>80141</v>
      </c>
      <c r="AU105" s="91">
        <v>286659</v>
      </c>
      <c r="AV105" s="91">
        <v>319431</v>
      </c>
      <c r="AW105" s="91">
        <v>916622.42</v>
      </c>
      <c r="AX105" s="91">
        <v>48409</v>
      </c>
      <c r="AY105" s="91">
        <v>175295</v>
      </c>
      <c r="AZ105" s="91">
        <v>368915</v>
      </c>
      <c r="BA105" s="91">
        <v>1146347</v>
      </c>
      <c r="BB105" s="91">
        <v>307284</v>
      </c>
      <c r="BC105" s="91">
        <v>1002497</v>
      </c>
      <c r="BD105" s="91">
        <v>851070</v>
      </c>
      <c r="BE105" s="91">
        <v>3551495</v>
      </c>
      <c r="BF105" s="91">
        <v>341549</v>
      </c>
      <c r="BG105" s="91">
        <v>1402043</v>
      </c>
      <c r="BH105" s="91">
        <v>471842</v>
      </c>
      <c r="BI105" s="91">
        <v>1572225</v>
      </c>
      <c r="BJ105" s="91">
        <v>93906</v>
      </c>
      <c r="BK105" s="91">
        <v>345612</v>
      </c>
      <c r="BL105" s="68">
        <f t="shared" ref="BL105:BL111" si="42">SUM(B105+D105+F105+H105+J105+L105+N105+P105+R105+T105+V105+X105+Z105+AB105+AD105+AF105+AH105+AJ105+AL105+AN105+AP105+AR105+AT105+AV105+AX105+AZ105+BB105+BD105+BF105+BH105+BJ105)</f>
        <v>6127083.6200000001</v>
      </c>
      <c r="BM105" s="68">
        <f t="shared" ref="BM105:BM111" si="43">SUM(C105+E105+G105+I105+K105+M105+O105+Q105+S105+U105+W105+Y105+AA105+AC105+AE105+AG105+AI105+AK105+AM105+AO105+AQ105+AS105+AU105+AW105+AY105+BA105+BC105+BE105+BG105+BI105+BK105)</f>
        <v>21084864.590000004</v>
      </c>
    </row>
    <row r="106" spans="1:65" x14ac:dyDescent="0.25">
      <c r="A106" s="91" t="s">
        <v>275</v>
      </c>
      <c r="B106" s="91"/>
      <c r="C106" s="91"/>
      <c r="D106" s="91"/>
      <c r="E106" s="91"/>
      <c r="F106" s="91">
        <v>3</v>
      </c>
      <c r="G106" s="91">
        <v>3</v>
      </c>
      <c r="H106" s="91">
        <v>3089</v>
      </c>
      <c r="I106" s="91">
        <v>9947</v>
      </c>
      <c r="J106" s="91">
        <v>2659</v>
      </c>
      <c r="K106" s="91">
        <v>6653</v>
      </c>
      <c r="L106" s="91">
        <v>180</v>
      </c>
      <c r="M106" s="91">
        <v>1206</v>
      </c>
      <c r="N106" s="91"/>
      <c r="O106" s="91"/>
      <c r="P106" s="90">
        <v>251.93</v>
      </c>
      <c r="Q106" s="90">
        <v>1213.49</v>
      </c>
      <c r="R106" s="91">
        <v>952.99</v>
      </c>
      <c r="S106" s="91">
        <v>7236.79</v>
      </c>
      <c r="T106" s="91">
        <v>11533</v>
      </c>
      <c r="U106" s="91">
        <v>11533</v>
      </c>
      <c r="V106" s="91">
        <v>3806</v>
      </c>
      <c r="W106" s="91">
        <v>3806</v>
      </c>
      <c r="X106" s="91">
        <v>33510</v>
      </c>
      <c r="Y106" s="91">
        <v>58554</v>
      </c>
      <c r="Z106" s="91">
        <v>4281</v>
      </c>
      <c r="AA106" s="91">
        <v>16506</v>
      </c>
      <c r="AB106" s="91">
        <v>284</v>
      </c>
      <c r="AC106" s="91">
        <v>1142</v>
      </c>
      <c r="AD106" s="91">
        <v>815</v>
      </c>
      <c r="AE106" s="91">
        <v>1983</v>
      </c>
      <c r="AF106" s="91">
        <v>570</v>
      </c>
      <c r="AG106" s="91">
        <v>5801</v>
      </c>
      <c r="AH106" s="91"/>
      <c r="AI106" s="91"/>
      <c r="AJ106" s="91"/>
      <c r="AK106" s="91"/>
      <c r="AL106" s="91">
        <v>30113.97</v>
      </c>
      <c r="AM106" s="91">
        <v>62435.8</v>
      </c>
      <c r="AN106" s="91">
        <v>38</v>
      </c>
      <c r="AO106" s="91">
        <v>123</v>
      </c>
      <c r="AP106" s="91">
        <v>248</v>
      </c>
      <c r="AQ106" s="91">
        <v>1683</v>
      </c>
      <c r="AR106" s="76">
        <v>533</v>
      </c>
      <c r="AS106" s="76">
        <v>9590</v>
      </c>
      <c r="AT106" s="91">
        <v>1807</v>
      </c>
      <c r="AU106" s="91">
        <v>9977</v>
      </c>
      <c r="AV106" s="91">
        <v>4033</v>
      </c>
      <c r="AW106" s="91">
        <v>9329.89</v>
      </c>
      <c r="AX106" s="91">
        <v>352</v>
      </c>
      <c r="AY106" s="91">
        <v>1207</v>
      </c>
      <c r="AZ106" s="91"/>
      <c r="BA106" s="91"/>
      <c r="BB106" s="91">
        <v>32634</v>
      </c>
      <c r="BC106" s="91">
        <v>66083</v>
      </c>
      <c r="BD106" s="91">
        <v>42640</v>
      </c>
      <c r="BE106" s="91">
        <v>131967</v>
      </c>
      <c r="BF106" s="91">
        <v>18365</v>
      </c>
      <c r="BG106" s="91">
        <v>58507</v>
      </c>
      <c r="BH106" s="91">
        <v>11161</v>
      </c>
      <c r="BI106" s="91">
        <v>32717</v>
      </c>
      <c r="BJ106" s="91">
        <v>2657</v>
      </c>
      <c r="BK106" s="91">
        <v>3081</v>
      </c>
      <c r="BL106" s="68">
        <f t="shared" si="42"/>
        <v>206516.89</v>
      </c>
      <c r="BM106" s="68">
        <f t="shared" si="43"/>
        <v>512284.97000000003</v>
      </c>
    </row>
    <row r="107" spans="1:65" x14ac:dyDescent="0.25">
      <c r="A107" s="91" t="s">
        <v>276</v>
      </c>
      <c r="B107" s="91">
        <v>11641</v>
      </c>
      <c r="C107" s="91">
        <v>39853</v>
      </c>
      <c r="D107" s="91">
        <v>11518</v>
      </c>
      <c r="E107" s="91">
        <v>37862</v>
      </c>
      <c r="F107" s="91">
        <v>198740</v>
      </c>
      <c r="G107" s="91">
        <v>702742</v>
      </c>
      <c r="H107" s="91">
        <v>-122708</v>
      </c>
      <c r="I107" s="91">
        <v>-602524</v>
      </c>
      <c r="J107" s="91">
        <v>33763</v>
      </c>
      <c r="K107" s="91">
        <v>85902</v>
      </c>
      <c r="L107" s="91">
        <v>29483</v>
      </c>
      <c r="M107" s="91">
        <v>104268</v>
      </c>
      <c r="N107" s="91">
        <v>5509.4</v>
      </c>
      <c r="O107" s="91">
        <v>20461.28</v>
      </c>
      <c r="P107" s="90">
        <v>3761.08</v>
      </c>
      <c r="Q107" s="90">
        <v>11181.53</v>
      </c>
      <c r="R107" s="91">
        <v>41900.94</v>
      </c>
      <c r="S107" s="91">
        <v>156595.62</v>
      </c>
      <c r="T107" s="91">
        <v>31085</v>
      </c>
      <c r="U107" s="91">
        <v>31085</v>
      </c>
      <c r="V107" s="91">
        <v>-180948</v>
      </c>
      <c r="W107" s="91">
        <v>-180948</v>
      </c>
      <c r="X107" s="91">
        <v>102736</v>
      </c>
      <c r="Y107" s="91">
        <v>507281</v>
      </c>
      <c r="Z107" s="91">
        <v>63976</v>
      </c>
      <c r="AA107" s="91">
        <v>272112</v>
      </c>
      <c r="AB107" s="91">
        <v>5700</v>
      </c>
      <c r="AC107" s="91">
        <v>17289</v>
      </c>
      <c r="AD107" s="91">
        <v>5097</v>
      </c>
      <c r="AE107" s="91">
        <v>22908</v>
      </c>
      <c r="AF107" s="91">
        <v>-25280</v>
      </c>
      <c r="AG107" s="91">
        <v>-69342</v>
      </c>
      <c r="AH107" s="91">
        <v>1582.2</v>
      </c>
      <c r="AI107" s="91">
        <v>5197.59</v>
      </c>
      <c r="AJ107" s="91">
        <v>20949</v>
      </c>
      <c r="AK107" s="91">
        <v>65234</v>
      </c>
      <c r="AL107" s="91">
        <v>41472.94</v>
      </c>
      <c r="AM107" s="91">
        <v>155874.6</v>
      </c>
      <c r="AN107" s="91">
        <v>-467</v>
      </c>
      <c r="AO107" s="91">
        <v>-1350</v>
      </c>
      <c r="AP107" s="91">
        <v>1589</v>
      </c>
      <c r="AQ107" s="91">
        <v>6700</v>
      </c>
      <c r="AR107" s="76">
        <v>82108</v>
      </c>
      <c r="AS107" s="76">
        <v>402519</v>
      </c>
      <c r="AT107" s="91">
        <v>17896</v>
      </c>
      <c r="AU107" s="91">
        <v>77430</v>
      </c>
      <c r="AV107" s="91">
        <v>158442</v>
      </c>
      <c r="AW107" s="91">
        <v>485927</v>
      </c>
      <c r="AX107" s="91">
        <v>4188</v>
      </c>
      <c r="AY107" s="91">
        <v>15224</v>
      </c>
      <c r="AZ107" s="91">
        <v>21539</v>
      </c>
      <c r="BA107" s="91">
        <v>65398</v>
      </c>
      <c r="BB107" s="91">
        <v>92828</v>
      </c>
      <c r="BC107" s="91">
        <v>317211</v>
      </c>
      <c r="BD107" s="91">
        <v>110575</v>
      </c>
      <c r="BE107" s="91">
        <v>707438</v>
      </c>
      <c r="BF107" s="91">
        <v>48458</v>
      </c>
      <c r="BG107" s="91">
        <v>230588</v>
      </c>
      <c r="BH107" s="91">
        <v>77486</v>
      </c>
      <c r="BI107" s="91">
        <v>261276</v>
      </c>
      <c r="BJ107" s="91">
        <v>47877</v>
      </c>
      <c r="BK107" s="91">
        <v>187503</v>
      </c>
      <c r="BL107" s="68">
        <f t="shared" si="42"/>
        <v>942497.56</v>
      </c>
      <c r="BM107" s="68">
        <f t="shared" si="43"/>
        <v>4138896.62</v>
      </c>
    </row>
    <row r="108" spans="1:65" s="7" customFormat="1" x14ac:dyDescent="0.25">
      <c r="A108" s="10" t="s">
        <v>277</v>
      </c>
      <c r="B108" s="10">
        <v>17339</v>
      </c>
      <c r="C108" s="10">
        <v>58969</v>
      </c>
      <c r="D108" s="10">
        <v>44163</v>
      </c>
      <c r="E108" s="10">
        <v>134805</v>
      </c>
      <c r="F108" s="10">
        <v>208072</v>
      </c>
      <c r="G108" s="10">
        <v>691281</v>
      </c>
      <c r="H108" s="10">
        <v>207271</v>
      </c>
      <c r="I108" s="10">
        <v>776282</v>
      </c>
      <c r="J108" s="10">
        <v>92046</v>
      </c>
      <c r="K108" s="10">
        <v>308842</v>
      </c>
      <c r="L108" s="10">
        <v>97717</v>
      </c>
      <c r="M108" s="10">
        <v>335759</v>
      </c>
      <c r="N108" s="10">
        <v>31274.49</v>
      </c>
      <c r="O108" s="10">
        <v>90200.4</v>
      </c>
      <c r="P108" s="127">
        <v>4696.5</v>
      </c>
      <c r="Q108" s="127">
        <v>24920.33</v>
      </c>
      <c r="R108" s="10">
        <v>82249.08</v>
      </c>
      <c r="S108" s="10">
        <v>264439.40000000002</v>
      </c>
      <c r="T108" s="10">
        <v>130824</v>
      </c>
      <c r="U108" s="10">
        <v>130824</v>
      </c>
      <c r="V108" s="10">
        <v>217902</v>
      </c>
      <c r="W108" s="10">
        <v>217902</v>
      </c>
      <c r="X108" s="10">
        <v>397339</v>
      </c>
      <c r="Y108" s="10">
        <v>1348959</v>
      </c>
      <c r="Z108" s="10">
        <v>154147</v>
      </c>
      <c r="AA108" s="10">
        <v>589685</v>
      </c>
      <c r="AB108" s="10">
        <v>18775</v>
      </c>
      <c r="AC108" s="10">
        <v>58100</v>
      </c>
      <c r="AD108" s="10">
        <v>39227</v>
      </c>
      <c r="AE108" s="10">
        <v>129720</v>
      </c>
      <c r="AF108" s="10">
        <v>35115</v>
      </c>
      <c r="AG108" s="10">
        <v>112176</v>
      </c>
      <c r="AH108" s="10">
        <v>28027.919999999998</v>
      </c>
      <c r="AI108" s="10">
        <v>93420.14</v>
      </c>
      <c r="AJ108" s="10">
        <v>68289</v>
      </c>
      <c r="AK108" s="10">
        <v>215763</v>
      </c>
      <c r="AL108" s="10">
        <v>289206.96000000002</v>
      </c>
      <c r="AM108" s="10">
        <v>1214244.3600000001</v>
      </c>
      <c r="AN108" s="10">
        <v>3637</v>
      </c>
      <c r="AO108" s="10">
        <v>9429</v>
      </c>
      <c r="AP108" s="10">
        <v>9084</v>
      </c>
      <c r="AQ108" s="10">
        <v>32566</v>
      </c>
      <c r="AR108" s="10">
        <v>138989</v>
      </c>
      <c r="AS108" s="10">
        <v>547967</v>
      </c>
      <c r="AT108" s="10">
        <v>64052</v>
      </c>
      <c r="AU108" s="10">
        <v>219207</v>
      </c>
      <c r="AV108" s="10">
        <v>165023</v>
      </c>
      <c r="AW108" s="10">
        <v>440025</v>
      </c>
      <c r="AX108" s="10">
        <v>44572</v>
      </c>
      <c r="AY108" s="10">
        <v>161278</v>
      </c>
      <c r="AZ108" s="10">
        <v>347377</v>
      </c>
      <c r="BA108" s="10">
        <v>1080949</v>
      </c>
      <c r="BB108" s="10">
        <v>247091</v>
      </c>
      <c r="BC108" s="10">
        <v>751369</v>
      </c>
      <c r="BD108" s="10">
        <v>783135</v>
      </c>
      <c r="BE108" s="10">
        <v>2976023</v>
      </c>
      <c r="BF108" s="10">
        <v>311455</v>
      </c>
      <c r="BG108" s="10">
        <v>1229963</v>
      </c>
      <c r="BH108" s="10">
        <v>405516</v>
      </c>
      <c r="BI108" s="10">
        <v>1343665</v>
      </c>
      <c r="BJ108" s="10">
        <v>48686</v>
      </c>
      <c r="BK108" s="10">
        <v>161191</v>
      </c>
      <c r="BL108" s="63">
        <f t="shared" si="42"/>
        <v>4732297.9499999993</v>
      </c>
      <c r="BM108" s="63">
        <f t="shared" si="43"/>
        <v>15749923.629999999</v>
      </c>
    </row>
    <row r="109" spans="1:65" x14ac:dyDescent="0.25">
      <c r="A109" s="91" t="s">
        <v>278</v>
      </c>
      <c r="B109" s="91">
        <v>23255</v>
      </c>
      <c r="C109" s="91">
        <v>12027</v>
      </c>
      <c r="D109" s="91">
        <v>61410</v>
      </c>
      <c r="E109" s="91">
        <v>49660</v>
      </c>
      <c r="F109" s="91">
        <v>33904</v>
      </c>
      <c r="G109" s="91">
        <v>58878</v>
      </c>
      <c r="H109" s="91">
        <v>406514</v>
      </c>
      <c r="I109" s="91">
        <v>416598</v>
      </c>
      <c r="J109" s="91">
        <v>136554</v>
      </c>
      <c r="K109" s="91">
        <v>93927</v>
      </c>
      <c r="L109" s="91">
        <v>220271</v>
      </c>
      <c r="M109" s="91">
        <v>220582</v>
      </c>
      <c r="N109" s="91">
        <v>14603.2</v>
      </c>
      <c r="O109" s="91">
        <v>43116.160000000003</v>
      </c>
      <c r="P109" s="90">
        <v>13768.96</v>
      </c>
      <c r="Q109" s="90">
        <v>10589.21</v>
      </c>
      <c r="R109" s="91">
        <v>127014.77</v>
      </c>
      <c r="S109" s="91">
        <v>124021.25</v>
      </c>
      <c r="T109" s="91">
        <v>201078</v>
      </c>
      <c r="U109" s="91">
        <v>201078</v>
      </c>
      <c r="V109" s="91">
        <v>410177</v>
      </c>
      <c r="W109" s="91">
        <v>410177</v>
      </c>
      <c r="X109" s="91">
        <v>734739</v>
      </c>
      <c r="Y109" s="91">
        <v>650915</v>
      </c>
      <c r="Z109" s="91"/>
      <c r="AA109" s="91">
        <v>253756</v>
      </c>
      <c r="AB109" s="91">
        <v>38093</v>
      </c>
      <c r="AC109" s="91">
        <v>33860</v>
      </c>
      <c r="AD109" s="91">
        <v>67997</v>
      </c>
      <c r="AE109" s="91">
        <v>71936</v>
      </c>
      <c r="AF109" s="91">
        <v>57793</v>
      </c>
      <c r="AG109" s="91">
        <v>46590</v>
      </c>
      <c r="AH109" s="91">
        <v>43496.49</v>
      </c>
      <c r="AI109" s="91">
        <v>35854.15</v>
      </c>
      <c r="AJ109" s="91">
        <v>96859</v>
      </c>
      <c r="AK109" s="91">
        <v>67615</v>
      </c>
      <c r="AL109" s="91">
        <v>610275.53</v>
      </c>
      <c r="AM109" s="91">
        <v>596944.37</v>
      </c>
      <c r="AN109" s="91">
        <v>19303</v>
      </c>
      <c r="AO109" s="91">
        <v>19821</v>
      </c>
      <c r="AP109" s="91">
        <v>17036</v>
      </c>
      <c r="AQ109" s="91">
        <v>15260</v>
      </c>
      <c r="AR109" s="91">
        <v>211418</v>
      </c>
      <c r="AS109" s="91">
        <v>192017</v>
      </c>
      <c r="AT109" s="91">
        <v>115360</v>
      </c>
      <c r="AU109" s="91">
        <v>123841</v>
      </c>
      <c r="AV109" s="91">
        <v>257196</v>
      </c>
      <c r="AW109" s="91">
        <v>287465</v>
      </c>
      <c r="AX109" s="91"/>
      <c r="AY109" s="91">
        <v>111238</v>
      </c>
      <c r="AZ109" s="91">
        <v>532026</v>
      </c>
      <c r="BA109" s="91">
        <v>517253</v>
      </c>
      <c r="BB109" s="91">
        <v>385419</v>
      </c>
      <c r="BC109" s="91">
        <v>357772</v>
      </c>
      <c r="BD109" s="91">
        <v>1275281</v>
      </c>
      <c r="BE109" s="91">
        <v>1246942</v>
      </c>
      <c r="BF109" s="91">
        <v>0</v>
      </c>
      <c r="BG109" s="91">
        <v>0</v>
      </c>
      <c r="BH109" s="91">
        <v>687328</v>
      </c>
      <c r="BI109" s="91">
        <v>711239</v>
      </c>
      <c r="BJ109" s="91">
        <v>83043</v>
      </c>
      <c r="BK109" s="91">
        <v>64702</v>
      </c>
      <c r="BL109" s="68">
        <f t="shared" si="42"/>
        <v>6881212.9500000002</v>
      </c>
      <c r="BM109" s="68">
        <f t="shared" si="43"/>
        <v>7045674.1400000006</v>
      </c>
    </row>
    <row r="110" spans="1:65" x14ac:dyDescent="0.25">
      <c r="A110" s="2" t="s">
        <v>279</v>
      </c>
      <c r="B110" s="91">
        <v>26352</v>
      </c>
      <c r="C110" s="91">
        <v>26352</v>
      </c>
      <c r="D110" s="91">
        <v>65536</v>
      </c>
      <c r="E110" s="91">
        <v>65536</v>
      </c>
      <c r="F110" s="91">
        <v>65517</v>
      </c>
      <c r="G110" s="91">
        <v>65517</v>
      </c>
      <c r="H110" s="91">
        <v>414944</v>
      </c>
      <c r="I110" s="91">
        <v>414944</v>
      </c>
      <c r="J110" s="91">
        <v>151685</v>
      </c>
      <c r="K110" s="91">
        <v>151685</v>
      </c>
      <c r="L110" s="91">
        <v>236097</v>
      </c>
      <c r="M110" s="91">
        <v>236097</v>
      </c>
      <c r="N110" s="91">
        <v>15637.25</v>
      </c>
      <c r="O110" s="91">
        <v>45100.2</v>
      </c>
      <c r="P110" s="90">
        <v>12236.36</v>
      </c>
      <c r="Q110" s="90">
        <v>12236.36</v>
      </c>
      <c r="R110" s="91">
        <v>143114.20000000001</v>
      </c>
      <c r="S110" s="91">
        <v>143114.20000000001</v>
      </c>
      <c r="T110" s="91">
        <v>230715</v>
      </c>
      <c r="U110" s="91">
        <v>230715</v>
      </c>
      <c r="V110" s="91">
        <v>-455360</v>
      </c>
      <c r="W110" s="91">
        <v>-455360</v>
      </c>
      <c r="X110" s="91">
        <v>800298</v>
      </c>
      <c r="Y110" s="91">
        <v>800298</v>
      </c>
      <c r="Z110" s="91">
        <v>9956</v>
      </c>
      <c r="AA110" s="91">
        <v>286916</v>
      </c>
      <c r="AB110" s="91">
        <v>43725</v>
      </c>
      <c r="AC110" s="91">
        <v>43725</v>
      </c>
      <c r="AD110" s="91">
        <v>75568</v>
      </c>
      <c r="AE110" s="91">
        <v>75568</v>
      </c>
      <c r="AF110" s="91">
        <v>-67345</v>
      </c>
      <c r="AG110" s="91">
        <v>-67345</v>
      </c>
      <c r="AH110" s="91">
        <v>46775.85</v>
      </c>
      <c r="AI110" s="91">
        <v>46775.85</v>
      </c>
      <c r="AJ110" s="91">
        <v>108127</v>
      </c>
      <c r="AK110" s="91">
        <v>108127</v>
      </c>
      <c r="AL110" s="91">
        <v>578921.94999999995</v>
      </c>
      <c r="AM110" s="91">
        <v>578921.94999999995</v>
      </c>
      <c r="AN110" s="91">
        <v>-20403</v>
      </c>
      <c r="AO110" s="91">
        <v>-20403</v>
      </c>
      <c r="AP110" s="91">
        <v>18122</v>
      </c>
      <c r="AQ110" s="91">
        <v>18122</v>
      </c>
      <c r="AR110" s="91">
        <v>226604</v>
      </c>
      <c r="AS110" s="91">
        <v>226604</v>
      </c>
      <c r="AT110" s="91">
        <v>125926</v>
      </c>
      <c r="AU110" s="91">
        <v>125926</v>
      </c>
      <c r="AV110" s="91">
        <v>301094</v>
      </c>
      <c r="AW110" s="91">
        <v>301094</v>
      </c>
      <c r="AX110" s="91">
        <v>3386</v>
      </c>
      <c r="AY110" s="91">
        <v>93050</v>
      </c>
      <c r="AZ110" s="91">
        <v>617286</v>
      </c>
      <c r="BA110" s="91">
        <v>617286</v>
      </c>
      <c r="BB110" s="91">
        <v>445986</v>
      </c>
      <c r="BC110" s="91">
        <v>445986</v>
      </c>
      <c r="BD110" s="91">
        <v>1332438</v>
      </c>
      <c r="BE110" s="91">
        <v>1332438</v>
      </c>
      <c r="BF110" s="91">
        <v>12257</v>
      </c>
      <c r="BG110" s="91">
        <v>66126</v>
      </c>
      <c r="BH110" s="91">
        <v>685344</v>
      </c>
      <c r="BI110" s="91">
        <v>685344</v>
      </c>
      <c r="BJ110" s="91">
        <v>-90172</v>
      </c>
      <c r="BK110" s="91">
        <v>-90172</v>
      </c>
      <c r="BL110" s="68">
        <f t="shared" si="42"/>
        <v>6160368.6100000003</v>
      </c>
      <c r="BM110" s="68">
        <f t="shared" si="43"/>
        <v>6610324.5599999996</v>
      </c>
    </row>
    <row r="111" spans="1:65" s="7" customFormat="1" x14ac:dyDescent="0.25">
      <c r="A111" s="10" t="s">
        <v>192</v>
      </c>
      <c r="B111" s="10">
        <v>14242</v>
      </c>
      <c r="C111" s="10">
        <v>44644</v>
      </c>
      <c r="D111" s="10">
        <v>40037</v>
      </c>
      <c r="E111" s="10">
        <v>118929</v>
      </c>
      <c r="F111" s="10">
        <v>176460</v>
      </c>
      <c r="G111" s="10">
        <v>684643</v>
      </c>
      <c r="H111" s="10">
        <v>198841</v>
      </c>
      <c r="I111" s="10">
        <v>777937</v>
      </c>
      <c r="J111" s="10">
        <v>76915</v>
      </c>
      <c r="K111" s="10">
        <v>251084</v>
      </c>
      <c r="L111" s="10">
        <v>81891</v>
      </c>
      <c r="M111" s="10">
        <v>320244</v>
      </c>
      <c r="N111" s="10">
        <v>30240.44</v>
      </c>
      <c r="O111" s="10">
        <v>88216.36</v>
      </c>
      <c r="P111" s="127">
        <v>6229.1</v>
      </c>
      <c r="Q111" s="127">
        <v>23273.18</v>
      </c>
      <c r="R111" s="10">
        <v>66149.649999999994</v>
      </c>
      <c r="S111" s="10">
        <v>245346.45</v>
      </c>
      <c r="T111" s="10">
        <v>101187</v>
      </c>
      <c r="U111" s="10">
        <v>101187</v>
      </c>
      <c r="V111" s="10">
        <v>172720</v>
      </c>
      <c r="W111" s="10">
        <v>172720</v>
      </c>
      <c r="X111" s="10">
        <v>331780</v>
      </c>
      <c r="Y111" s="10">
        <v>1303209</v>
      </c>
      <c r="Z111" s="10">
        <v>144191</v>
      </c>
      <c r="AA111" s="10">
        <v>556525</v>
      </c>
      <c r="AB111" s="10">
        <v>13143</v>
      </c>
      <c r="AC111" s="10">
        <v>48234</v>
      </c>
      <c r="AD111" s="10">
        <v>31656</v>
      </c>
      <c r="AE111" s="10">
        <v>126088</v>
      </c>
      <c r="AF111" s="10">
        <v>25564</v>
      </c>
      <c r="AG111" s="10">
        <v>91421</v>
      </c>
      <c r="AH111" s="10">
        <v>24748.560000000001</v>
      </c>
      <c r="AI111" s="10">
        <v>82498.45</v>
      </c>
      <c r="AJ111" s="10">
        <v>57020</v>
      </c>
      <c r="AK111" s="10">
        <v>175251</v>
      </c>
      <c r="AL111" s="10">
        <v>320560.53999999998</v>
      </c>
      <c r="AM111" s="10">
        <v>1232266.78</v>
      </c>
      <c r="AN111" s="10">
        <v>2538</v>
      </c>
      <c r="AO111" s="10">
        <v>8848</v>
      </c>
      <c r="AP111" s="10">
        <v>7997</v>
      </c>
      <c r="AQ111" s="10">
        <v>29704</v>
      </c>
      <c r="AR111" s="10">
        <v>123803</v>
      </c>
      <c r="AS111" s="10">
        <v>513380</v>
      </c>
      <c r="AT111" s="10">
        <v>53486</v>
      </c>
      <c r="AU111" s="10">
        <v>217122</v>
      </c>
      <c r="AV111" s="10">
        <v>121125</v>
      </c>
      <c r="AW111" s="10">
        <v>426396</v>
      </c>
      <c r="AX111" s="10">
        <v>41186</v>
      </c>
      <c r="AY111" s="10">
        <v>179465</v>
      </c>
      <c r="AZ111" s="10">
        <v>262117</v>
      </c>
      <c r="BA111" s="10">
        <v>980916</v>
      </c>
      <c r="BB111" s="10">
        <v>186524</v>
      </c>
      <c r="BC111" s="10">
        <v>663155</v>
      </c>
      <c r="BD111" s="10">
        <v>725978</v>
      </c>
      <c r="BE111" s="10">
        <v>2890528</v>
      </c>
      <c r="BF111" s="10">
        <v>299198</v>
      </c>
      <c r="BG111" s="10">
        <v>1163837</v>
      </c>
      <c r="BH111" s="10">
        <v>407500</v>
      </c>
      <c r="BI111" s="10">
        <v>1369560</v>
      </c>
      <c r="BJ111" s="10">
        <v>41557</v>
      </c>
      <c r="BK111" s="10">
        <v>135721</v>
      </c>
      <c r="BL111" s="63">
        <f t="shared" si="42"/>
        <v>4186584.29</v>
      </c>
      <c r="BM111" s="63">
        <f t="shared" si="43"/>
        <v>15022349.220000001</v>
      </c>
    </row>
  </sheetData>
  <mergeCells count="320"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L37:BM37"/>
    <mergeCell ref="AD26:AE26"/>
    <mergeCell ref="AF26:AG26"/>
    <mergeCell ref="AT37:AU37"/>
    <mergeCell ref="AV37:AW37"/>
    <mergeCell ref="AX37:AY37"/>
    <mergeCell ref="AZ37:BA37"/>
    <mergeCell ref="BB37:BC37"/>
    <mergeCell ref="B26:C26"/>
    <mergeCell ref="D26:E26"/>
    <mergeCell ref="F26:G26"/>
    <mergeCell ref="H26:I26"/>
    <mergeCell ref="J26:K26"/>
    <mergeCell ref="BL26:BM26"/>
    <mergeCell ref="B37:C37"/>
    <mergeCell ref="D37:E37"/>
    <mergeCell ref="F37:G37"/>
    <mergeCell ref="H37:I37"/>
    <mergeCell ref="AT26:AU26"/>
    <mergeCell ref="AV26:AW26"/>
    <mergeCell ref="AX26:AY26"/>
    <mergeCell ref="AZ26:BA26"/>
    <mergeCell ref="BB26:BC26"/>
    <mergeCell ref="BD26:BE26"/>
    <mergeCell ref="BJ26:BK26"/>
    <mergeCell ref="B48:C48"/>
    <mergeCell ref="D48:E48"/>
    <mergeCell ref="F48:G48"/>
    <mergeCell ref="H48:I48"/>
    <mergeCell ref="J48:K48"/>
    <mergeCell ref="BD37:BE37"/>
    <mergeCell ref="BF37:BG37"/>
    <mergeCell ref="BH37:BI37"/>
    <mergeCell ref="AF37:AG37"/>
    <mergeCell ref="AH37:AI37"/>
    <mergeCell ref="AJ37:AK37"/>
    <mergeCell ref="AL37:AM37"/>
    <mergeCell ref="AN37:AO37"/>
    <mergeCell ref="AP37:AQ37"/>
    <mergeCell ref="V37:W37"/>
    <mergeCell ref="X37:Y37"/>
    <mergeCell ref="Z37:AA37"/>
    <mergeCell ref="AB37:AC37"/>
    <mergeCell ref="AD37:AE37"/>
    <mergeCell ref="J37:K37"/>
    <mergeCell ref="BJ37:BK37"/>
    <mergeCell ref="AH26:AI26"/>
    <mergeCell ref="AJ26:AK26"/>
    <mergeCell ref="AT48:AU48"/>
    <mergeCell ref="V48:W48"/>
    <mergeCell ref="X48:Y48"/>
    <mergeCell ref="Z48:AA48"/>
    <mergeCell ref="AD48:AE48"/>
    <mergeCell ref="AF48:AG48"/>
    <mergeCell ref="L48:M48"/>
    <mergeCell ref="N48:O48"/>
    <mergeCell ref="P48:Q48"/>
    <mergeCell ref="R48:S48"/>
    <mergeCell ref="AR48:AS48"/>
    <mergeCell ref="L37:M37"/>
    <mergeCell ref="N37:O37"/>
    <mergeCell ref="AB48:AC48"/>
    <mergeCell ref="AR37:AS37"/>
    <mergeCell ref="B59:C59"/>
    <mergeCell ref="D59:E59"/>
    <mergeCell ref="F59:G59"/>
    <mergeCell ref="H59:I59"/>
    <mergeCell ref="P37:Q37"/>
    <mergeCell ref="R37:S37"/>
    <mergeCell ref="T37:U37"/>
    <mergeCell ref="AV59:AW59"/>
    <mergeCell ref="AX59:AY59"/>
    <mergeCell ref="AZ59:BA59"/>
    <mergeCell ref="BB59:BC59"/>
    <mergeCell ref="P59:Q59"/>
    <mergeCell ref="R59:S59"/>
    <mergeCell ref="T59:U59"/>
    <mergeCell ref="BJ48:BK48"/>
    <mergeCell ref="BL48:BM48"/>
    <mergeCell ref="BD48:BE48"/>
    <mergeCell ref="BJ59:BK59"/>
    <mergeCell ref="BL59:BM59"/>
    <mergeCell ref="T48:U48"/>
    <mergeCell ref="BF48:BG48"/>
    <mergeCell ref="BH48:BI48"/>
    <mergeCell ref="AV48:AW48"/>
    <mergeCell ref="AX48:AY48"/>
    <mergeCell ref="AZ48:BA48"/>
    <mergeCell ref="BB48:BC48"/>
    <mergeCell ref="AH48:AI48"/>
    <mergeCell ref="AJ48:AK48"/>
    <mergeCell ref="AL48:AM48"/>
    <mergeCell ref="AN48:AO48"/>
    <mergeCell ref="AP48:AQ48"/>
    <mergeCell ref="D70:E70"/>
    <mergeCell ref="F70:G70"/>
    <mergeCell ref="H70:I70"/>
    <mergeCell ref="J70:K70"/>
    <mergeCell ref="BD59:BE59"/>
    <mergeCell ref="BF59:BG59"/>
    <mergeCell ref="BH59:BI59"/>
    <mergeCell ref="AF59:AG59"/>
    <mergeCell ref="AH59:AI59"/>
    <mergeCell ref="AJ59:AK59"/>
    <mergeCell ref="AL59:AM59"/>
    <mergeCell ref="AN59:AO59"/>
    <mergeCell ref="AP59:AQ59"/>
    <mergeCell ref="V59:W59"/>
    <mergeCell ref="X59:Y59"/>
    <mergeCell ref="Z59:AA59"/>
    <mergeCell ref="AB59:AC59"/>
    <mergeCell ref="AD59:AE59"/>
    <mergeCell ref="J59:K59"/>
    <mergeCell ref="L59:M59"/>
    <mergeCell ref="N59:O59"/>
    <mergeCell ref="AB70:AC70"/>
    <mergeCell ref="AR59:AS59"/>
    <mergeCell ref="AT59:AU59"/>
    <mergeCell ref="B81:C81"/>
    <mergeCell ref="D81:E81"/>
    <mergeCell ref="F81:G81"/>
    <mergeCell ref="H81:I81"/>
    <mergeCell ref="AT70:AU70"/>
    <mergeCell ref="AV70:AW70"/>
    <mergeCell ref="AX70:AY70"/>
    <mergeCell ref="AZ70:BA70"/>
    <mergeCell ref="AH70:AI70"/>
    <mergeCell ref="AJ70:AK70"/>
    <mergeCell ref="AL70:AM70"/>
    <mergeCell ref="AN70:AO70"/>
    <mergeCell ref="AP70:AQ70"/>
    <mergeCell ref="AR70:AS70"/>
    <mergeCell ref="V70:W70"/>
    <mergeCell ref="X70:Y70"/>
    <mergeCell ref="Z70:AA70"/>
    <mergeCell ref="AD70:AE70"/>
    <mergeCell ref="AF70:AG70"/>
    <mergeCell ref="L70:M70"/>
    <mergeCell ref="N70:O70"/>
    <mergeCell ref="P70:Q70"/>
    <mergeCell ref="R70:S70"/>
    <mergeCell ref="B70:C70"/>
    <mergeCell ref="AZ81:BA81"/>
    <mergeCell ref="BB81:BC81"/>
    <mergeCell ref="P81:Q81"/>
    <mergeCell ref="R81:S81"/>
    <mergeCell ref="T81:U81"/>
    <mergeCell ref="BJ70:BK70"/>
    <mergeCell ref="BL70:BM70"/>
    <mergeCell ref="BB70:BC70"/>
    <mergeCell ref="BD70:BE70"/>
    <mergeCell ref="BJ81:BK81"/>
    <mergeCell ref="BL81:BM81"/>
    <mergeCell ref="T70:U70"/>
    <mergeCell ref="BF70:BG70"/>
    <mergeCell ref="BH70:BI70"/>
    <mergeCell ref="F92:G92"/>
    <mergeCell ref="H92:I92"/>
    <mergeCell ref="J92:K92"/>
    <mergeCell ref="BD81:BE81"/>
    <mergeCell ref="BF81:BG81"/>
    <mergeCell ref="BH81:BI81"/>
    <mergeCell ref="AF81:AG81"/>
    <mergeCell ref="AH81:AI81"/>
    <mergeCell ref="AJ81:AK81"/>
    <mergeCell ref="AL81:AM81"/>
    <mergeCell ref="AN81:AO81"/>
    <mergeCell ref="AP81:AQ81"/>
    <mergeCell ref="V81:W81"/>
    <mergeCell ref="X81:Y81"/>
    <mergeCell ref="Z81:AA81"/>
    <mergeCell ref="AB81:AC81"/>
    <mergeCell ref="AD81:AE81"/>
    <mergeCell ref="J81:K81"/>
    <mergeCell ref="L81:M81"/>
    <mergeCell ref="N81:O81"/>
    <mergeCell ref="AR81:AS81"/>
    <mergeCell ref="AT81:AU81"/>
    <mergeCell ref="AV81:AW81"/>
    <mergeCell ref="AX81:AY81"/>
    <mergeCell ref="BL92:BM92"/>
    <mergeCell ref="B103:C103"/>
    <mergeCell ref="D103:E103"/>
    <mergeCell ref="F103:G103"/>
    <mergeCell ref="H103:I103"/>
    <mergeCell ref="AT92:AU92"/>
    <mergeCell ref="AV92:AW92"/>
    <mergeCell ref="AX92:AY92"/>
    <mergeCell ref="AZ92:BA92"/>
    <mergeCell ref="BB92:BC92"/>
    <mergeCell ref="BD92:BE92"/>
    <mergeCell ref="AH92:AI92"/>
    <mergeCell ref="AJ92:AK92"/>
    <mergeCell ref="AL92:AM92"/>
    <mergeCell ref="AN92:AO92"/>
    <mergeCell ref="AP92:AQ92"/>
    <mergeCell ref="AR92:AS92"/>
    <mergeCell ref="V92:W92"/>
    <mergeCell ref="X92:Y92"/>
    <mergeCell ref="Z92:AA92"/>
    <mergeCell ref="AB92:AC92"/>
    <mergeCell ref="AD92:AE92"/>
    <mergeCell ref="B92:C92"/>
    <mergeCell ref="D92:E92"/>
    <mergeCell ref="J103:K103"/>
    <mergeCell ref="L103:M103"/>
    <mergeCell ref="N103:O103"/>
    <mergeCell ref="P103:Q103"/>
    <mergeCell ref="R103:S103"/>
    <mergeCell ref="T103:U103"/>
    <mergeCell ref="BF92:BG92"/>
    <mergeCell ref="BH92:BI92"/>
    <mergeCell ref="BJ92:BK92"/>
    <mergeCell ref="AF92:AG92"/>
    <mergeCell ref="L92:M92"/>
    <mergeCell ref="N92:O92"/>
    <mergeCell ref="P92:Q92"/>
    <mergeCell ref="R92:S92"/>
    <mergeCell ref="T92:U92"/>
    <mergeCell ref="AF103:AG103"/>
    <mergeCell ref="AH103:AI103"/>
    <mergeCell ref="AJ103:AK103"/>
    <mergeCell ref="AL103:AM103"/>
    <mergeCell ref="AN103:AO103"/>
    <mergeCell ref="AP103:AQ103"/>
    <mergeCell ref="V103:W103"/>
    <mergeCell ref="BL103:BM103"/>
    <mergeCell ref="AR103:AS103"/>
    <mergeCell ref="AT103:AU103"/>
    <mergeCell ref="AV103:AW103"/>
    <mergeCell ref="AX103:AY103"/>
    <mergeCell ref="AZ103:BA103"/>
    <mergeCell ref="BB103:BC103"/>
    <mergeCell ref="X103:Y103"/>
    <mergeCell ref="Z103:AA103"/>
    <mergeCell ref="AB103:AC103"/>
    <mergeCell ref="AD103:AE103"/>
    <mergeCell ref="BD103:BE103"/>
    <mergeCell ref="BF103:BG103"/>
    <mergeCell ref="BH103:BI103"/>
    <mergeCell ref="BJ103:BK10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5" x14ac:dyDescent="0.25"/>
  <cols>
    <col min="1" max="1" width="45.140625" style="71" customWidth="1"/>
    <col min="2" max="65" width="16" style="71" customWidth="1"/>
    <col min="66" max="16384" width="9.140625" style="71"/>
  </cols>
  <sheetData>
    <row r="1" spans="1:65" ht="18.75" x14ac:dyDescent="0.3">
      <c r="A1" s="4" t="s">
        <v>191</v>
      </c>
    </row>
    <row r="2" spans="1:65" x14ac:dyDescent="0.25">
      <c r="A2" s="13" t="s">
        <v>98</v>
      </c>
    </row>
    <row r="3" spans="1:65" x14ac:dyDescent="0.25">
      <c r="A3" s="27" t="s">
        <v>182</v>
      </c>
    </row>
    <row r="4" spans="1:65" x14ac:dyDescent="0.25">
      <c r="A4" s="3" t="s">
        <v>0</v>
      </c>
      <c r="B4" s="154" t="s">
        <v>1</v>
      </c>
      <c r="C4" s="155"/>
      <c r="D4" s="154" t="s">
        <v>234</v>
      </c>
      <c r="E4" s="155"/>
      <c r="F4" s="154" t="s">
        <v>2</v>
      </c>
      <c r="G4" s="155"/>
      <c r="H4" s="154" t="s">
        <v>3</v>
      </c>
      <c r="I4" s="155"/>
      <c r="J4" s="154" t="s">
        <v>243</v>
      </c>
      <c r="K4" s="155"/>
      <c r="L4" s="154" t="s">
        <v>235</v>
      </c>
      <c r="M4" s="155"/>
      <c r="N4" s="154" t="s">
        <v>5</v>
      </c>
      <c r="O4" s="155"/>
      <c r="P4" s="154" t="s">
        <v>4</v>
      </c>
      <c r="Q4" s="155"/>
      <c r="R4" s="154" t="s">
        <v>6</v>
      </c>
      <c r="S4" s="155"/>
      <c r="T4" s="154" t="s">
        <v>246</v>
      </c>
      <c r="U4" s="155"/>
      <c r="V4" s="154" t="s">
        <v>7</v>
      </c>
      <c r="W4" s="155"/>
      <c r="X4" s="154" t="s">
        <v>8</v>
      </c>
      <c r="Y4" s="155"/>
      <c r="Z4" s="154" t="s">
        <v>9</v>
      </c>
      <c r="AA4" s="155"/>
      <c r="AB4" s="154" t="s">
        <v>242</v>
      </c>
      <c r="AC4" s="155"/>
      <c r="AD4" s="154" t="s">
        <v>10</v>
      </c>
      <c r="AE4" s="155"/>
      <c r="AF4" s="154" t="s">
        <v>11</v>
      </c>
      <c r="AG4" s="155"/>
      <c r="AH4" s="154" t="s">
        <v>236</v>
      </c>
      <c r="AI4" s="155"/>
      <c r="AJ4" s="154" t="s">
        <v>245</v>
      </c>
      <c r="AK4" s="155"/>
      <c r="AL4" s="154" t="s">
        <v>12</v>
      </c>
      <c r="AM4" s="155"/>
      <c r="AN4" s="154" t="s">
        <v>237</v>
      </c>
      <c r="AO4" s="155"/>
      <c r="AP4" s="154" t="s">
        <v>238</v>
      </c>
      <c r="AQ4" s="155"/>
      <c r="AR4" s="154" t="s">
        <v>241</v>
      </c>
      <c r="AS4" s="155"/>
      <c r="AT4" s="154" t="s">
        <v>13</v>
      </c>
      <c r="AU4" s="155"/>
      <c r="AV4" s="154" t="s">
        <v>14</v>
      </c>
      <c r="AW4" s="155"/>
      <c r="AX4" s="154" t="s">
        <v>15</v>
      </c>
      <c r="AY4" s="155"/>
      <c r="AZ4" s="154" t="s">
        <v>16</v>
      </c>
      <c r="BA4" s="155"/>
      <c r="BB4" s="154" t="s">
        <v>17</v>
      </c>
      <c r="BC4" s="155"/>
      <c r="BD4" s="154" t="s">
        <v>239</v>
      </c>
      <c r="BE4" s="155"/>
      <c r="BF4" s="154" t="s">
        <v>240</v>
      </c>
      <c r="BG4" s="155"/>
      <c r="BH4" s="154" t="s">
        <v>18</v>
      </c>
      <c r="BI4" s="155"/>
      <c r="BJ4" s="154" t="s">
        <v>19</v>
      </c>
      <c r="BK4" s="155"/>
      <c r="BL4" s="156" t="s">
        <v>20</v>
      </c>
      <c r="BM4" s="157"/>
    </row>
    <row r="5" spans="1:65" ht="30" x14ac:dyDescent="0.25">
      <c r="A5" s="3"/>
      <c r="B5" s="53" t="s">
        <v>300</v>
      </c>
      <c r="C5" s="54" t="s">
        <v>301</v>
      </c>
      <c r="D5" s="53" t="s">
        <v>300</v>
      </c>
      <c r="E5" s="54" t="s">
        <v>301</v>
      </c>
      <c r="F5" s="53" t="s">
        <v>300</v>
      </c>
      <c r="G5" s="54" t="s">
        <v>301</v>
      </c>
      <c r="H5" s="53" t="s">
        <v>300</v>
      </c>
      <c r="I5" s="54" t="s">
        <v>301</v>
      </c>
      <c r="J5" s="53" t="s">
        <v>300</v>
      </c>
      <c r="K5" s="54" t="s">
        <v>301</v>
      </c>
      <c r="L5" s="53" t="s">
        <v>300</v>
      </c>
      <c r="M5" s="54" t="s">
        <v>301</v>
      </c>
      <c r="N5" s="53" t="s">
        <v>300</v>
      </c>
      <c r="O5" s="54" t="s">
        <v>301</v>
      </c>
      <c r="P5" s="53" t="s">
        <v>300</v>
      </c>
      <c r="Q5" s="54" t="s">
        <v>301</v>
      </c>
      <c r="R5" s="53" t="s">
        <v>300</v>
      </c>
      <c r="S5" s="54" t="s">
        <v>301</v>
      </c>
      <c r="T5" s="53" t="s">
        <v>300</v>
      </c>
      <c r="U5" s="54" t="s">
        <v>301</v>
      </c>
      <c r="V5" s="53" t="s">
        <v>300</v>
      </c>
      <c r="W5" s="54" t="s">
        <v>301</v>
      </c>
      <c r="X5" s="53" t="s">
        <v>300</v>
      </c>
      <c r="Y5" s="54" t="s">
        <v>301</v>
      </c>
      <c r="Z5" s="53" t="s">
        <v>300</v>
      </c>
      <c r="AA5" s="54" t="s">
        <v>301</v>
      </c>
      <c r="AB5" s="53" t="s">
        <v>300</v>
      </c>
      <c r="AC5" s="54" t="s">
        <v>301</v>
      </c>
      <c r="AD5" s="53" t="s">
        <v>300</v>
      </c>
      <c r="AE5" s="54" t="s">
        <v>301</v>
      </c>
      <c r="AF5" s="53" t="s">
        <v>300</v>
      </c>
      <c r="AG5" s="54" t="s">
        <v>301</v>
      </c>
      <c r="AH5" s="53" t="s">
        <v>300</v>
      </c>
      <c r="AI5" s="54" t="s">
        <v>301</v>
      </c>
      <c r="AJ5" s="53" t="s">
        <v>300</v>
      </c>
      <c r="AK5" s="54" t="s">
        <v>301</v>
      </c>
      <c r="AL5" s="53" t="s">
        <v>300</v>
      </c>
      <c r="AM5" s="54" t="s">
        <v>301</v>
      </c>
      <c r="AN5" s="53" t="s">
        <v>300</v>
      </c>
      <c r="AO5" s="54" t="s">
        <v>301</v>
      </c>
      <c r="AP5" s="53" t="s">
        <v>300</v>
      </c>
      <c r="AQ5" s="54" t="s">
        <v>301</v>
      </c>
      <c r="AR5" s="53" t="s">
        <v>300</v>
      </c>
      <c r="AS5" s="54" t="s">
        <v>301</v>
      </c>
      <c r="AT5" s="53" t="s">
        <v>300</v>
      </c>
      <c r="AU5" s="54" t="s">
        <v>301</v>
      </c>
      <c r="AV5" s="53" t="s">
        <v>300</v>
      </c>
      <c r="AW5" s="54" t="s">
        <v>301</v>
      </c>
      <c r="AX5" s="53" t="s">
        <v>300</v>
      </c>
      <c r="AY5" s="54" t="s">
        <v>301</v>
      </c>
      <c r="AZ5" s="53" t="s">
        <v>300</v>
      </c>
      <c r="BA5" s="54" t="s">
        <v>301</v>
      </c>
      <c r="BB5" s="53" t="s">
        <v>300</v>
      </c>
      <c r="BC5" s="54" t="s">
        <v>301</v>
      </c>
      <c r="BD5" s="53" t="s">
        <v>300</v>
      </c>
      <c r="BE5" s="54" t="s">
        <v>301</v>
      </c>
      <c r="BF5" s="53" t="s">
        <v>300</v>
      </c>
      <c r="BG5" s="54" t="s">
        <v>301</v>
      </c>
      <c r="BH5" s="53" t="s">
        <v>300</v>
      </c>
      <c r="BI5" s="54" t="s">
        <v>301</v>
      </c>
      <c r="BJ5" s="53" t="s">
        <v>300</v>
      </c>
      <c r="BK5" s="54" t="s">
        <v>301</v>
      </c>
      <c r="BL5" s="104" t="s">
        <v>300</v>
      </c>
      <c r="BM5" s="105" t="s">
        <v>301</v>
      </c>
    </row>
    <row r="6" spans="1:65" x14ac:dyDescent="0.25">
      <c r="A6" s="20" t="s">
        <v>280</v>
      </c>
      <c r="B6" s="76"/>
      <c r="C6" s="76"/>
      <c r="D6" s="76"/>
      <c r="E6" s="76"/>
      <c r="F6" s="76"/>
      <c r="G6" s="76"/>
      <c r="H6" s="91">
        <v>15119</v>
      </c>
      <c r="I6" s="91">
        <v>47476</v>
      </c>
      <c r="J6" s="76"/>
      <c r="K6" s="76"/>
      <c r="L6" s="91">
        <v>7591</v>
      </c>
      <c r="M6" s="91">
        <v>13226</v>
      </c>
      <c r="N6" s="76"/>
      <c r="O6" s="76"/>
      <c r="P6" s="90">
        <v>147.61000000000001</v>
      </c>
      <c r="Q6" s="90">
        <v>218.6</v>
      </c>
      <c r="R6" s="91">
        <v>4362.33</v>
      </c>
      <c r="S6" s="91">
        <v>17921.28</v>
      </c>
      <c r="T6" s="91">
        <v>870</v>
      </c>
      <c r="U6" s="91">
        <v>7275</v>
      </c>
      <c r="V6" s="91">
        <v>9245</v>
      </c>
      <c r="W6" s="91">
        <v>41416</v>
      </c>
      <c r="X6" s="91">
        <v>25748</v>
      </c>
      <c r="Y6" s="91">
        <v>85849</v>
      </c>
      <c r="Z6" s="91">
        <v>19554</v>
      </c>
      <c r="AA6" s="91">
        <v>39391</v>
      </c>
      <c r="AB6" s="91">
        <v>138</v>
      </c>
      <c r="AC6" s="91">
        <v>838</v>
      </c>
      <c r="AD6" s="91">
        <v>288</v>
      </c>
      <c r="AE6" s="91">
        <v>2242</v>
      </c>
      <c r="AF6" s="91">
        <v>967</v>
      </c>
      <c r="AG6" s="91">
        <v>3267</v>
      </c>
      <c r="AH6" s="76"/>
      <c r="AI6" s="76"/>
      <c r="AJ6" s="76"/>
      <c r="AK6" s="76"/>
      <c r="AL6" s="91">
        <v>15138.05</v>
      </c>
      <c r="AM6" s="91">
        <v>15138.05</v>
      </c>
      <c r="AN6" s="91">
        <v>5</v>
      </c>
      <c r="AO6" s="91">
        <v>22</v>
      </c>
      <c r="AP6" s="91">
        <v>178</v>
      </c>
      <c r="AQ6" s="91">
        <v>308</v>
      </c>
      <c r="AR6" s="76">
        <v>6425</v>
      </c>
      <c r="AS6" s="76">
        <v>22234</v>
      </c>
      <c r="AT6" s="91">
        <v>2158</v>
      </c>
      <c r="AU6" s="91">
        <v>9792</v>
      </c>
      <c r="AV6" s="91">
        <v>10500</v>
      </c>
      <c r="AW6" s="91">
        <v>32340</v>
      </c>
      <c r="AX6" s="91">
        <v>126</v>
      </c>
      <c r="AY6" s="91">
        <v>688</v>
      </c>
      <c r="AZ6" s="76"/>
      <c r="BA6" s="76"/>
      <c r="BB6" s="91">
        <v>14551</v>
      </c>
      <c r="BC6" s="91">
        <v>41532</v>
      </c>
      <c r="BD6" s="91">
        <v>81404</v>
      </c>
      <c r="BE6" s="91">
        <v>198046</v>
      </c>
      <c r="BF6" s="91">
        <v>30561</v>
      </c>
      <c r="BG6" s="91">
        <v>75674</v>
      </c>
      <c r="BH6" s="91">
        <v>36576</v>
      </c>
      <c r="BI6" s="91">
        <v>82726</v>
      </c>
      <c r="BJ6" s="91">
        <v>1142</v>
      </c>
      <c r="BK6" s="91">
        <v>3591</v>
      </c>
      <c r="BL6" s="68">
        <f>SUM(B6+D6+F6+H6+J6+L6+N6+P6+R6+T6+V6+X6+Z6+AB6+AD6+AF6+AH6+AJ6+AL6+AN6+AP6+AR6+AT6+AV6+AX6+AZ6+BB6+BD6+BF6+BH6+BJ6)</f>
        <v>282793.99</v>
      </c>
      <c r="BM6" s="68">
        <f>SUM(C6+E6+G6+I6+K6+M6+O6+Q6+S6+U6+W6+Y6+AA6+AC6+AE6+AG6+AI6+AK6+AM6+AO6+AQ6+AS6+AU6+AW6+AY6+BA6+BC6+BE6+BG6+BI6+BK6)</f>
        <v>741210.92999999993</v>
      </c>
    </row>
    <row r="7" spans="1:65" x14ac:dyDescent="0.25">
      <c r="A7" s="20" t="s">
        <v>281</v>
      </c>
      <c r="B7" s="76"/>
      <c r="C7" s="76"/>
      <c r="D7" s="76"/>
      <c r="E7" s="76"/>
      <c r="F7" s="76"/>
      <c r="G7" s="76"/>
      <c r="H7" s="91">
        <v>250</v>
      </c>
      <c r="I7" s="91">
        <v>1576</v>
      </c>
      <c r="J7" s="76"/>
      <c r="K7" s="76"/>
      <c r="L7" s="91">
        <v>-11</v>
      </c>
      <c r="M7" s="91">
        <v>-51</v>
      </c>
      <c r="N7" s="76"/>
      <c r="O7" s="76"/>
      <c r="P7" s="90">
        <v>17.38</v>
      </c>
      <c r="Q7" s="90">
        <v>39.770000000000003</v>
      </c>
      <c r="R7" s="91">
        <v>68.19</v>
      </c>
      <c r="S7" s="91">
        <v>1178.77</v>
      </c>
      <c r="T7" s="91">
        <v>642</v>
      </c>
      <c r="U7" s="91">
        <v>3386</v>
      </c>
      <c r="V7" s="91">
        <v>1468</v>
      </c>
      <c r="W7" s="91">
        <v>4506</v>
      </c>
      <c r="X7" s="91">
        <v>174</v>
      </c>
      <c r="Y7" s="91">
        <v>1172</v>
      </c>
      <c r="Z7" s="91">
        <v>1227</v>
      </c>
      <c r="AA7" s="91">
        <v>2570</v>
      </c>
      <c r="AB7" s="91">
        <v>0.46</v>
      </c>
      <c r="AC7" s="91">
        <v>-8</v>
      </c>
      <c r="AD7" s="91"/>
      <c r="AE7" s="91">
        <v>-22</v>
      </c>
      <c r="AF7" s="91">
        <v>561</v>
      </c>
      <c r="AG7" s="91">
        <v>2527</v>
      </c>
      <c r="AH7" s="76"/>
      <c r="AI7" s="76"/>
      <c r="AJ7" s="76"/>
      <c r="AK7" s="76"/>
      <c r="AL7" s="91">
        <v>4893.76</v>
      </c>
      <c r="AM7" s="91">
        <v>4893.76</v>
      </c>
      <c r="AN7" s="91"/>
      <c r="AO7" s="91">
        <v>-1</v>
      </c>
      <c r="AP7" s="91">
        <v>2</v>
      </c>
      <c r="AQ7" s="91">
        <v>127</v>
      </c>
      <c r="AR7" s="76">
        <v>1513</v>
      </c>
      <c r="AS7" s="76">
        <v>2267</v>
      </c>
      <c r="AT7" s="91">
        <v>216</v>
      </c>
      <c r="AU7" s="91">
        <v>1165</v>
      </c>
      <c r="AV7" s="91"/>
      <c r="AW7" s="91">
        <v>-12</v>
      </c>
      <c r="AX7" s="91"/>
      <c r="AY7" s="91">
        <v>-21</v>
      </c>
      <c r="AZ7" s="76"/>
      <c r="BA7" s="76"/>
      <c r="BB7" s="91">
        <v>481</v>
      </c>
      <c r="BC7" s="91">
        <v>2506</v>
      </c>
      <c r="BD7" s="91">
        <v>25801</v>
      </c>
      <c r="BE7" s="91">
        <v>83854</v>
      </c>
      <c r="BF7" s="91">
        <v>1346</v>
      </c>
      <c r="BG7" s="91">
        <v>7811</v>
      </c>
      <c r="BH7" s="91">
        <v>14863</v>
      </c>
      <c r="BI7" s="91">
        <v>16992</v>
      </c>
      <c r="BJ7" s="91">
        <v>32</v>
      </c>
      <c r="BK7" s="91">
        <v>18</v>
      </c>
      <c r="BL7" s="68">
        <f t="shared" ref="BL7:BL12" si="0">SUM(B7+D7+F7+H7+J7+L7+N7+P7+R7+T7+V7+X7+Z7+AB7+AD7+AF7+AH7+AJ7+AL7+AN7+AP7+AR7+AT7+AV7+AX7+AZ7+BB7+BD7+BF7+BH7+BJ7)</f>
        <v>53544.79</v>
      </c>
      <c r="BM7" s="68">
        <f t="shared" ref="BM7:BM12" si="1">SUM(C7+E7+G7+I7+K7+M7+O7+Q7+S7+U7+W7+Y7+AA7+AC7+AE7+AG7+AI7+AK7+AM7+AO7+AQ7+AS7+AU7+AW7+AY7+BA7+BC7+BE7+BG7+BI7+BK7)</f>
        <v>136474.29999999999</v>
      </c>
    </row>
    <row r="8" spans="1:65" x14ac:dyDescent="0.25">
      <c r="A8" s="20" t="s">
        <v>282</v>
      </c>
      <c r="B8" s="76"/>
      <c r="C8" s="76"/>
      <c r="D8" s="76"/>
      <c r="E8" s="76"/>
      <c r="F8" s="76"/>
      <c r="G8" s="76"/>
      <c r="H8" s="91">
        <v>-10811</v>
      </c>
      <c r="I8" s="91">
        <v>-33780</v>
      </c>
      <c r="J8" s="76"/>
      <c r="K8" s="76"/>
      <c r="L8" s="91">
        <v>6248</v>
      </c>
      <c r="M8" s="91">
        <v>9246</v>
      </c>
      <c r="N8" s="76"/>
      <c r="O8" s="76"/>
      <c r="P8" s="90">
        <v>139.82</v>
      </c>
      <c r="Q8" s="90">
        <v>224.75</v>
      </c>
      <c r="R8" s="91">
        <v>2279.6999999999998</v>
      </c>
      <c r="S8" s="91">
        <v>11818.19</v>
      </c>
      <c r="T8" s="91">
        <v>1131</v>
      </c>
      <c r="U8" s="91">
        <v>9297</v>
      </c>
      <c r="V8" s="91">
        <v>-7668</v>
      </c>
      <c r="W8" s="91">
        <v>-35178</v>
      </c>
      <c r="X8" s="91">
        <v>18287</v>
      </c>
      <c r="Y8" s="91">
        <v>62181</v>
      </c>
      <c r="Z8" s="91">
        <v>19359</v>
      </c>
      <c r="AA8" s="91">
        <v>37008</v>
      </c>
      <c r="AB8" s="91">
        <v>90</v>
      </c>
      <c r="AC8" s="91">
        <v>550</v>
      </c>
      <c r="AD8" s="91">
        <v>195</v>
      </c>
      <c r="AE8" s="91">
        <v>1527</v>
      </c>
      <c r="AF8" s="91">
        <v>-1133</v>
      </c>
      <c r="AG8" s="91">
        <v>-4518</v>
      </c>
      <c r="AH8" s="76"/>
      <c r="AI8" s="76"/>
      <c r="AJ8" s="76"/>
      <c r="AK8" s="76"/>
      <c r="AL8" s="91">
        <v>-906.96</v>
      </c>
      <c r="AM8" s="91">
        <v>-906.96</v>
      </c>
      <c r="AN8" s="91">
        <v>-2</v>
      </c>
      <c r="AO8" s="91">
        <v>-7</v>
      </c>
      <c r="AP8" s="91">
        <v>149</v>
      </c>
      <c r="AQ8" s="91">
        <v>355</v>
      </c>
      <c r="AR8" s="76">
        <v>4980</v>
      </c>
      <c r="AS8" s="76">
        <v>16286</v>
      </c>
      <c r="AT8" s="91">
        <v>1317</v>
      </c>
      <c r="AU8" s="91">
        <v>7540</v>
      </c>
      <c r="AV8" s="91">
        <v>6692</v>
      </c>
      <c r="AW8" s="91">
        <v>20231</v>
      </c>
      <c r="AX8" s="91">
        <v>48</v>
      </c>
      <c r="AY8" s="91">
        <v>414</v>
      </c>
      <c r="AZ8" s="76"/>
      <c r="BA8" s="76"/>
      <c r="BB8" s="91">
        <v>9842</v>
      </c>
      <c r="BC8" s="91">
        <v>30264</v>
      </c>
      <c r="BD8" s="91">
        <v>65219</v>
      </c>
      <c r="BE8" s="91">
        <v>103129</v>
      </c>
      <c r="BF8" s="91">
        <v>9458</v>
      </c>
      <c r="BG8" s="91">
        <v>29810</v>
      </c>
      <c r="BH8" s="91">
        <v>20674</v>
      </c>
      <c r="BI8" s="91">
        <v>34364</v>
      </c>
      <c r="BJ8" s="91">
        <v>573</v>
      </c>
      <c r="BK8" s="91">
        <v>1980</v>
      </c>
      <c r="BL8" s="68">
        <f t="shared" si="0"/>
        <v>146160.56</v>
      </c>
      <c r="BM8" s="68">
        <f t="shared" si="1"/>
        <v>301834.98</v>
      </c>
    </row>
    <row r="9" spans="1:65" s="7" customFormat="1" x14ac:dyDescent="0.25">
      <c r="A9" s="3" t="s">
        <v>283</v>
      </c>
      <c r="B9" s="10"/>
      <c r="C9" s="10"/>
      <c r="D9" s="10"/>
      <c r="E9" s="10"/>
      <c r="F9" s="10"/>
      <c r="G9" s="10"/>
      <c r="H9" s="10">
        <v>4558</v>
      </c>
      <c r="I9" s="10">
        <v>15271</v>
      </c>
      <c r="J9" s="10"/>
      <c r="K9" s="10"/>
      <c r="L9" s="10">
        <v>1331</v>
      </c>
      <c r="M9" s="10">
        <v>3928</v>
      </c>
      <c r="N9" s="10"/>
      <c r="O9" s="10"/>
      <c r="P9" s="127">
        <v>25.17</v>
      </c>
      <c r="Q9" s="127">
        <v>33.619999999999997</v>
      </c>
      <c r="R9" s="10">
        <v>2150.8200000000002</v>
      </c>
      <c r="S9" s="10">
        <v>7281.86</v>
      </c>
      <c r="T9" s="10">
        <v>381</v>
      </c>
      <c r="U9" s="10">
        <v>1364</v>
      </c>
      <c r="V9" s="10">
        <v>3045</v>
      </c>
      <c r="W9" s="10">
        <v>10745</v>
      </c>
      <c r="X9" s="10">
        <v>7635</v>
      </c>
      <c r="Y9" s="10">
        <v>24840</v>
      </c>
      <c r="Z9" s="10">
        <v>1422</v>
      </c>
      <c r="AA9" s="10">
        <v>4953</v>
      </c>
      <c r="AB9" s="10">
        <v>49</v>
      </c>
      <c r="AC9" s="10">
        <v>280</v>
      </c>
      <c r="AD9" s="10">
        <v>93</v>
      </c>
      <c r="AE9" s="10">
        <v>694</v>
      </c>
      <c r="AF9" s="10">
        <v>395</v>
      </c>
      <c r="AG9" s="10">
        <v>1276</v>
      </c>
      <c r="AH9" s="10"/>
      <c r="AI9" s="10"/>
      <c r="AJ9" s="10"/>
      <c r="AK9" s="10"/>
      <c r="AL9" s="10">
        <v>20938.77</v>
      </c>
      <c r="AM9" s="10">
        <v>20938.77</v>
      </c>
      <c r="AN9" s="10">
        <v>3</v>
      </c>
      <c r="AO9" s="10">
        <v>15</v>
      </c>
      <c r="AP9" s="10">
        <v>32</v>
      </c>
      <c r="AQ9" s="10">
        <v>79</v>
      </c>
      <c r="AR9" s="10">
        <v>2958</v>
      </c>
      <c r="AS9" s="10">
        <v>8216</v>
      </c>
      <c r="AT9" s="10">
        <v>1056</v>
      </c>
      <c r="AU9" s="10">
        <v>3417</v>
      </c>
      <c r="AV9" s="10">
        <v>3807</v>
      </c>
      <c r="AW9" s="10">
        <v>12097</v>
      </c>
      <c r="AX9" s="10">
        <v>78</v>
      </c>
      <c r="AY9" s="10">
        <v>253</v>
      </c>
      <c r="AZ9" s="10"/>
      <c r="BA9" s="10"/>
      <c r="BB9" s="10"/>
      <c r="BC9" s="10">
        <v>13774</v>
      </c>
      <c r="BD9" s="10">
        <v>41986</v>
      </c>
      <c r="BE9" s="10">
        <v>178770</v>
      </c>
      <c r="BF9" s="10">
        <v>22449</v>
      </c>
      <c r="BG9" s="10">
        <v>53674</v>
      </c>
      <c r="BH9" s="10">
        <v>30765</v>
      </c>
      <c r="BI9" s="10">
        <v>65354</v>
      </c>
      <c r="BJ9" s="10">
        <v>601</v>
      </c>
      <c r="BK9" s="10">
        <v>1628</v>
      </c>
      <c r="BL9" s="63">
        <f t="shared" si="0"/>
        <v>145758.76</v>
      </c>
      <c r="BM9" s="63">
        <f t="shared" si="1"/>
        <v>428882.25</v>
      </c>
    </row>
    <row r="10" spans="1:65" x14ac:dyDescent="0.25">
      <c r="A10" s="20" t="s">
        <v>284</v>
      </c>
      <c r="B10" s="91">
        <v>2</v>
      </c>
      <c r="C10" s="91">
        <v>2</v>
      </c>
      <c r="D10" s="76"/>
      <c r="E10" s="76"/>
      <c r="F10" s="76"/>
      <c r="G10" s="76"/>
      <c r="H10" s="91">
        <v>19243</v>
      </c>
      <c r="I10" s="91">
        <v>19243</v>
      </c>
      <c r="J10" s="76"/>
      <c r="K10" s="76"/>
      <c r="L10" s="91">
        <v>5729</v>
      </c>
      <c r="M10" s="91">
        <v>5729</v>
      </c>
      <c r="N10" s="76"/>
      <c r="O10" s="76"/>
      <c r="P10" s="90">
        <v>778.11</v>
      </c>
      <c r="Q10" s="90">
        <v>778.11</v>
      </c>
      <c r="R10" s="91">
        <v>13703.96</v>
      </c>
      <c r="S10" s="91">
        <v>13703.96</v>
      </c>
      <c r="T10" s="91">
        <v>4934</v>
      </c>
      <c r="U10" s="91">
        <v>4934</v>
      </c>
      <c r="V10" s="91">
        <v>27538</v>
      </c>
      <c r="W10" s="91">
        <v>27538</v>
      </c>
      <c r="X10" s="91">
        <v>57366</v>
      </c>
      <c r="Y10" s="91">
        <v>57366</v>
      </c>
      <c r="Z10" s="91">
        <v>990</v>
      </c>
      <c r="AA10" s="91">
        <v>11462</v>
      </c>
      <c r="AB10" s="91">
        <v>994</v>
      </c>
      <c r="AC10" s="91">
        <v>994</v>
      </c>
      <c r="AD10" s="91">
        <v>1319</v>
      </c>
      <c r="AE10" s="91">
        <v>1319</v>
      </c>
      <c r="AF10" s="91">
        <v>2510</v>
      </c>
      <c r="AG10" s="91">
        <v>2510</v>
      </c>
      <c r="AH10" s="76"/>
      <c r="AI10" s="76"/>
      <c r="AJ10" s="76"/>
      <c r="AK10" s="76"/>
      <c r="AL10" s="91">
        <v>154717.39000000001</v>
      </c>
      <c r="AM10" s="91">
        <v>154717.39000000001</v>
      </c>
      <c r="AN10" s="91">
        <v>227</v>
      </c>
      <c r="AO10" s="91">
        <v>227</v>
      </c>
      <c r="AP10" s="91">
        <v>307</v>
      </c>
      <c r="AQ10" s="91">
        <v>307</v>
      </c>
      <c r="AR10" s="76">
        <v>21580</v>
      </c>
      <c r="AS10" s="76">
        <v>21580</v>
      </c>
      <c r="AT10" s="91">
        <v>2979</v>
      </c>
      <c r="AU10" s="91">
        <v>2979</v>
      </c>
      <c r="AV10" s="91">
        <v>25146</v>
      </c>
      <c r="AW10" s="91">
        <v>25146</v>
      </c>
      <c r="AX10" s="91">
        <v>164</v>
      </c>
      <c r="AY10" s="91">
        <v>2381</v>
      </c>
      <c r="AZ10" s="76"/>
      <c r="BA10" s="76"/>
      <c r="BB10" s="91">
        <v>21473</v>
      </c>
      <c r="BC10" s="91">
        <v>21473</v>
      </c>
      <c r="BD10" s="91">
        <v>416663</v>
      </c>
      <c r="BE10" s="91">
        <v>416663</v>
      </c>
      <c r="BF10" s="91">
        <v>-13710</v>
      </c>
      <c r="BG10" s="91">
        <v>105717</v>
      </c>
      <c r="BH10" s="91">
        <v>151458</v>
      </c>
      <c r="BI10" s="91">
        <v>151458</v>
      </c>
      <c r="BJ10" s="91">
        <v>-1644</v>
      </c>
      <c r="BK10" s="91">
        <v>4399</v>
      </c>
      <c r="BL10" s="68">
        <f t="shared" si="0"/>
        <v>914467.46</v>
      </c>
      <c r="BM10" s="68">
        <f t="shared" si="1"/>
        <v>1052626.46</v>
      </c>
    </row>
    <row r="11" spans="1:65" ht="15" customHeight="1" x14ac:dyDescent="0.25">
      <c r="A11" s="20" t="s">
        <v>285</v>
      </c>
      <c r="B11" s="91">
        <v>2</v>
      </c>
      <c r="C11" s="91"/>
      <c r="D11" s="76"/>
      <c r="E11" s="76"/>
      <c r="F11" s="76"/>
      <c r="G11" s="76"/>
      <c r="H11" s="91">
        <v>23011</v>
      </c>
      <c r="I11" s="91">
        <v>20121</v>
      </c>
      <c r="J11" s="76"/>
      <c r="K11" s="76"/>
      <c r="L11" s="91">
        <v>7123</v>
      </c>
      <c r="M11" s="91">
        <v>4682</v>
      </c>
      <c r="N11" s="76"/>
      <c r="O11" s="76"/>
      <c r="P11" s="90">
        <v>754.98</v>
      </c>
      <c r="Q11" s="90">
        <v>551.29</v>
      </c>
      <c r="R11" s="91">
        <v>14686.61</v>
      </c>
      <c r="S11" s="91">
        <v>10293.450000000001</v>
      </c>
      <c r="T11" s="91">
        <v>4548</v>
      </c>
      <c r="U11" s="91">
        <v>3360</v>
      </c>
      <c r="V11" s="91">
        <v>-27037</v>
      </c>
      <c r="W11" s="91">
        <v>-20482</v>
      </c>
      <c r="X11" s="91">
        <v>59395</v>
      </c>
      <c r="Y11" s="91">
        <v>41704</v>
      </c>
      <c r="Z11" s="91"/>
      <c r="AA11" s="91">
        <v>8483</v>
      </c>
      <c r="AB11" s="91">
        <v>756</v>
      </c>
      <c r="AC11" s="91">
        <v>923</v>
      </c>
      <c r="AD11" s="91">
        <v>1336</v>
      </c>
      <c r="AE11" s="91">
        <v>1796</v>
      </c>
      <c r="AF11" s="91">
        <v>-3073</v>
      </c>
      <c r="AG11" s="91">
        <v>-2816</v>
      </c>
      <c r="AH11" s="76"/>
      <c r="AI11" s="76"/>
      <c r="AJ11" s="76"/>
      <c r="AK11" s="76"/>
      <c r="AL11" s="91">
        <v>148812.69</v>
      </c>
      <c r="AM11" s="91">
        <v>148812.69</v>
      </c>
      <c r="AN11" s="91">
        <v>-409</v>
      </c>
      <c r="AO11" s="91">
        <v>-321</v>
      </c>
      <c r="AP11" s="91">
        <v>395</v>
      </c>
      <c r="AQ11" s="91">
        <v>131</v>
      </c>
      <c r="AR11" s="76">
        <v>20821</v>
      </c>
      <c r="AS11" s="76">
        <v>16652</v>
      </c>
      <c r="AT11" s="91">
        <v>3390</v>
      </c>
      <c r="AU11" s="91">
        <v>4530</v>
      </c>
      <c r="AV11" s="91">
        <v>27677</v>
      </c>
      <c r="AW11" s="91">
        <v>18485</v>
      </c>
      <c r="AX11" s="91"/>
      <c r="AY11" s="91">
        <v>1757</v>
      </c>
      <c r="AZ11" s="76"/>
      <c r="BA11" s="76"/>
      <c r="BB11" s="91">
        <v>23166</v>
      </c>
      <c r="BC11" s="91">
        <v>12164</v>
      </c>
      <c r="BD11" s="91">
        <v>391043</v>
      </c>
      <c r="BE11" s="91">
        <v>383953</v>
      </c>
      <c r="BF11" s="91">
        <v>0</v>
      </c>
      <c r="BG11" s="91">
        <v>111527</v>
      </c>
      <c r="BH11" s="91">
        <v>163615</v>
      </c>
      <c r="BI11" s="91">
        <v>163615</v>
      </c>
      <c r="BJ11" s="91"/>
      <c r="BK11" s="91">
        <v>4976</v>
      </c>
      <c r="BL11" s="68">
        <f t="shared" si="0"/>
        <v>860013.28</v>
      </c>
      <c r="BM11" s="68">
        <f t="shared" si="1"/>
        <v>934897.42999999993</v>
      </c>
    </row>
    <row r="12" spans="1:65" s="7" customFormat="1" x14ac:dyDescent="0.25">
      <c r="A12" s="3" t="s">
        <v>286</v>
      </c>
      <c r="B12" s="10"/>
      <c r="C12" s="10">
        <v>2</v>
      </c>
      <c r="D12" s="10"/>
      <c r="E12" s="10"/>
      <c r="F12" s="10"/>
      <c r="G12" s="10"/>
      <c r="H12" s="10">
        <v>790</v>
      </c>
      <c r="I12" s="10">
        <v>14393</v>
      </c>
      <c r="J12" s="10"/>
      <c r="K12" s="10"/>
      <c r="L12" s="10">
        <v>-63</v>
      </c>
      <c r="M12" s="10">
        <v>4974</v>
      </c>
      <c r="N12" s="10"/>
      <c r="O12" s="10"/>
      <c r="P12" s="127">
        <v>48.3</v>
      </c>
      <c r="Q12" s="127">
        <v>260.44</v>
      </c>
      <c r="R12" s="10">
        <v>1168.17</v>
      </c>
      <c r="S12" s="10">
        <v>10692.37</v>
      </c>
      <c r="T12" s="10">
        <v>767</v>
      </c>
      <c r="U12" s="10">
        <v>2938</v>
      </c>
      <c r="V12" s="10">
        <v>3546</v>
      </c>
      <c r="W12" s="10">
        <v>17801</v>
      </c>
      <c r="X12" s="10">
        <v>5606</v>
      </c>
      <c r="Y12" s="10">
        <v>35784</v>
      </c>
      <c r="Z12" s="10">
        <v>2412</v>
      </c>
      <c r="AA12" s="10">
        <v>7932</v>
      </c>
      <c r="AB12" s="10">
        <v>287</v>
      </c>
      <c r="AC12" s="10">
        <v>350</v>
      </c>
      <c r="AD12" s="10">
        <v>76</v>
      </c>
      <c r="AE12" s="10">
        <v>216</v>
      </c>
      <c r="AF12" s="10">
        <v>-168</v>
      </c>
      <c r="AG12" s="10">
        <v>970</v>
      </c>
      <c r="AH12" s="10"/>
      <c r="AI12" s="10"/>
      <c r="AJ12" s="10"/>
      <c r="AK12" s="10"/>
      <c r="AL12" s="10">
        <v>26843.47</v>
      </c>
      <c r="AM12" s="10">
        <v>26843.47</v>
      </c>
      <c r="AN12" s="10">
        <v>-179</v>
      </c>
      <c r="AO12" s="10">
        <v>-79</v>
      </c>
      <c r="AP12" s="10">
        <v>-57</v>
      </c>
      <c r="AQ12" s="10">
        <v>255</v>
      </c>
      <c r="AR12" s="10">
        <v>3717</v>
      </c>
      <c r="AS12" s="10">
        <v>13144</v>
      </c>
      <c r="AT12" s="10">
        <v>646</v>
      </c>
      <c r="AU12" s="10">
        <v>1867</v>
      </c>
      <c r="AV12" s="10">
        <v>1277</v>
      </c>
      <c r="AW12" s="10">
        <v>18758</v>
      </c>
      <c r="AX12" s="10">
        <v>242</v>
      </c>
      <c r="AY12" s="10">
        <v>877</v>
      </c>
      <c r="AZ12" s="10"/>
      <c r="BA12" s="10"/>
      <c r="BB12" s="10">
        <v>3497</v>
      </c>
      <c r="BC12" s="10">
        <v>23083</v>
      </c>
      <c r="BD12" s="10">
        <v>67606</v>
      </c>
      <c r="BE12" s="10">
        <v>211480</v>
      </c>
      <c r="BF12" s="10">
        <v>8738</v>
      </c>
      <c r="BG12" s="10">
        <v>47864</v>
      </c>
      <c r="BH12" s="10">
        <v>18609</v>
      </c>
      <c r="BI12" s="10">
        <v>53198</v>
      </c>
      <c r="BJ12" s="10">
        <v>-1043</v>
      </c>
      <c r="BK12" s="10">
        <v>1051</v>
      </c>
      <c r="BL12" s="63">
        <f t="shared" si="0"/>
        <v>144365.94</v>
      </c>
      <c r="BM12" s="63">
        <f t="shared" si="1"/>
        <v>494654.28</v>
      </c>
    </row>
    <row r="13" spans="1:65" x14ac:dyDescent="0.25">
      <c r="A13" s="13"/>
    </row>
    <row r="14" spans="1:65" x14ac:dyDescent="0.25">
      <c r="A14" s="27" t="s">
        <v>183</v>
      </c>
    </row>
    <row r="15" spans="1:65" x14ac:dyDescent="0.25">
      <c r="A15" s="3" t="s">
        <v>0</v>
      </c>
      <c r="B15" s="154" t="s">
        <v>1</v>
      </c>
      <c r="C15" s="155"/>
      <c r="D15" s="154" t="s">
        <v>234</v>
      </c>
      <c r="E15" s="155"/>
      <c r="F15" s="154" t="s">
        <v>2</v>
      </c>
      <c r="G15" s="155"/>
      <c r="H15" s="154" t="s">
        <v>3</v>
      </c>
      <c r="I15" s="155"/>
      <c r="J15" s="154" t="s">
        <v>243</v>
      </c>
      <c r="K15" s="155"/>
      <c r="L15" s="154" t="s">
        <v>235</v>
      </c>
      <c r="M15" s="155"/>
      <c r="N15" s="154" t="s">
        <v>5</v>
      </c>
      <c r="O15" s="155"/>
      <c r="P15" s="154" t="s">
        <v>4</v>
      </c>
      <c r="Q15" s="155"/>
      <c r="R15" s="154" t="s">
        <v>6</v>
      </c>
      <c r="S15" s="155"/>
      <c r="T15" s="154" t="s">
        <v>246</v>
      </c>
      <c r="U15" s="155"/>
      <c r="V15" s="154" t="s">
        <v>7</v>
      </c>
      <c r="W15" s="155"/>
      <c r="X15" s="154" t="s">
        <v>8</v>
      </c>
      <c r="Y15" s="155"/>
      <c r="Z15" s="154" t="s">
        <v>9</v>
      </c>
      <c r="AA15" s="155"/>
      <c r="AB15" s="154" t="s">
        <v>242</v>
      </c>
      <c r="AC15" s="155"/>
      <c r="AD15" s="154" t="s">
        <v>10</v>
      </c>
      <c r="AE15" s="155"/>
      <c r="AF15" s="154" t="s">
        <v>11</v>
      </c>
      <c r="AG15" s="155"/>
      <c r="AH15" s="154" t="s">
        <v>236</v>
      </c>
      <c r="AI15" s="155"/>
      <c r="AJ15" s="154" t="s">
        <v>245</v>
      </c>
      <c r="AK15" s="155"/>
      <c r="AL15" s="154" t="s">
        <v>12</v>
      </c>
      <c r="AM15" s="155"/>
      <c r="AN15" s="154" t="s">
        <v>237</v>
      </c>
      <c r="AO15" s="155"/>
      <c r="AP15" s="154" t="s">
        <v>238</v>
      </c>
      <c r="AQ15" s="155"/>
      <c r="AR15" s="154" t="s">
        <v>241</v>
      </c>
      <c r="AS15" s="155"/>
      <c r="AT15" s="154" t="s">
        <v>13</v>
      </c>
      <c r="AU15" s="155"/>
      <c r="AV15" s="154" t="s">
        <v>14</v>
      </c>
      <c r="AW15" s="155"/>
      <c r="AX15" s="154" t="s">
        <v>15</v>
      </c>
      <c r="AY15" s="155"/>
      <c r="AZ15" s="154" t="s">
        <v>16</v>
      </c>
      <c r="BA15" s="155"/>
      <c r="BB15" s="154" t="s">
        <v>17</v>
      </c>
      <c r="BC15" s="155"/>
      <c r="BD15" s="154" t="s">
        <v>239</v>
      </c>
      <c r="BE15" s="155"/>
      <c r="BF15" s="154" t="s">
        <v>240</v>
      </c>
      <c r="BG15" s="155"/>
      <c r="BH15" s="154" t="s">
        <v>18</v>
      </c>
      <c r="BI15" s="155"/>
      <c r="BJ15" s="154" t="s">
        <v>19</v>
      </c>
      <c r="BK15" s="155"/>
      <c r="BL15" s="156" t="s">
        <v>20</v>
      </c>
      <c r="BM15" s="157"/>
    </row>
    <row r="16" spans="1:65" ht="30" x14ac:dyDescent="0.25">
      <c r="A16" s="3"/>
      <c r="B16" s="53" t="s">
        <v>300</v>
      </c>
      <c r="C16" s="54" t="s">
        <v>301</v>
      </c>
      <c r="D16" s="53" t="s">
        <v>300</v>
      </c>
      <c r="E16" s="54" t="s">
        <v>301</v>
      </c>
      <c r="F16" s="53" t="s">
        <v>300</v>
      </c>
      <c r="G16" s="54" t="s">
        <v>301</v>
      </c>
      <c r="H16" s="53" t="s">
        <v>300</v>
      </c>
      <c r="I16" s="54" t="s">
        <v>301</v>
      </c>
      <c r="J16" s="53" t="s">
        <v>300</v>
      </c>
      <c r="K16" s="54" t="s">
        <v>301</v>
      </c>
      <c r="L16" s="53" t="s">
        <v>300</v>
      </c>
      <c r="M16" s="54" t="s">
        <v>301</v>
      </c>
      <c r="N16" s="53" t="s">
        <v>300</v>
      </c>
      <c r="O16" s="54" t="s">
        <v>301</v>
      </c>
      <c r="P16" s="53" t="s">
        <v>300</v>
      </c>
      <c r="Q16" s="54" t="s">
        <v>301</v>
      </c>
      <c r="R16" s="53" t="s">
        <v>300</v>
      </c>
      <c r="S16" s="54" t="s">
        <v>301</v>
      </c>
      <c r="T16" s="53" t="s">
        <v>300</v>
      </c>
      <c r="U16" s="54" t="s">
        <v>301</v>
      </c>
      <c r="V16" s="53" t="s">
        <v>300</v>
      </c>
      <c r="W16" s="54" t="s">
        <v>301</v>
      </c>
      <c r="X16" s="53" t="s">
        <v>300</v>
      </c>
      <c r="Y16" s="54" t="s">
        <v>301</v>
      </c>
      <c r="Z16" s="53" t="s">
        <v>300</v>
      </c>
      <c r="AA16" s="54" t="s">
        <v>301</v>
      </c>
      <c r="AB16" s="53" t="s">
        <v>300</v>
      </c>
      <c r="AC16" s="54" t="s">
        <v>301</v>
      </c>
      <c r="AD16" s="53" t="s">
        <v>300</v>
      </c>
      <c r="AE16" s="54" t="s">
        <v>301</v>
      </c>
      <c r="AF16" s="53" t="s">
        <v>300</v>
      </c>
      <c r="AG16" s="54" t="s">
        <v>301</v>
      </c>
      <c r="AH16" s="53" t="s">
        <v>300</v>
      </c>
      <c r="AI16" s="54" t="s">
        <v>301</v>
      </c>
      <c r="AJ16" s="53" t="s">
        <v>300</v>
      </c>
      <c r="AK16" s="54" t="s">
        <v>301</v>
      </c>
      <c r="AL16" s="53" t="s">
        <v>300</v>
      </c>
      <c r="AM16" s="54" t="s">
        <v>301</v>
      </c>
      <c r="AN16" s="53" t="s">
        <v>300</v>
      </c>
      <c r="AO16" s="54" t="s">
        <v>301</v>
      </c>
      <c r="AP16" s="53" t="s">
        <v>300</v>
      </c>
      <c r="AQ16" s="54" t="s">
        <v>301</v>
      </c>
      <c r="AR16" s="53" t="s">
        <v>300</v>
      </c>
      <c r="AS16" s="54" t="s">
        <v>301</v>
      </c>
      <c r="AT16" s="53" t="s">
        <v>300</v>
      </c>
      <c r="AU16" s="54" t="s">
        <v>301</v>
      </c>
      <c r="AV16" s="53" t="s">
        <v>300</v>
      </c>
      <c r="AW16" s="54" t="s">
        <v>301</v>
      </c>
      <c r="AX16" s="53" t="s">
        <v>300</v>
      </c>
      <c r="AY16" s="54" t="s">
        <v>301</v>
      </c>
      <c r="AZ16" s="53" t="s">
        <v>300</v>
      </c>
      <c r="BA16" s="54" t="s">
        <v>301</v>
      </c>
      <c r="BB16" s="53" t="s">
        <v>300</v>
      </c>
      <c r="BC16" s="54" t="s">
        <v>301</v>
      </c>
      <c r="BD16" s="53" t="s">
        <v>300</v>
      </c>
      <c r="BE16" s="54" t="s">
        <v>301</v>
      </c>
      <c r="BF16" s="53" t="s">
        <v>300</v>
      </c>
      <c r="BG16" s="54" t="s">
        <v>301</v>
      </c>
      <c r="BH16" s="53" t="s">
        <v>300</v>
      </c>
      <c r="BI16" s="54" t="s">
        <v>301</v>
      </c>
      <c r="BJ16" s="53" t="s">
        <v>300</v>
      </c>
      <c r="BK16" s="54" t="s">
        <v>301</v>
      </c>
      <c r="BL16" s="104" t="s">
        <v>300</v>
      </c>
      <c r="BM16" s="105" t="s">
        <v>301</v>
      </c>
    </row>
    <row r="17" spans="1:65" x14ac:dyDescent="0.25">
      <c r="A17" s="20" t="s">
        <v>280</v>
      </c>
      <c r="B17" s="76"/>
      <c r="C17" s="76"/>
      <c r="D17" s="76"/>
      <c r="E17" s="76"/>
      <c r="F17" s="76"/>
      <c r="G17" s="76"/>
      <c r="H17" s="91">
        <v>3106</v>
      </c>
      <c r="I17" s="91">
        <v>8662</v>
      </c>
      <c r="J17" s="76"/>
      <c r="K17" s="76"/>
      <c r="L17" s="91">
        <v>1609</v>
      </c>
      <c r="M17" s="91">
        <v>5286</v>
      </c>
      <c r="N17" s="76"/>
      <c r="O17" s="76"/>
      <c r="P17" s="90">
        <v>101.53</v>
      </c>
      <c r="Q17" s="90">
        <v>293.92</v>
      </c>
      <c r="R17" s="91">
        <v>1094.29</v>
      </c>
      <c r="S17" s="91">
        <v>4937.74</v>
      </c>
      <c r="T17" s="91">
        <v>252</v>
      </c>
      <c r="U17" s="91">
        <v>411</v>
      </c>
      <c r="V17" s="91">
        <v>4106</v>
      </c>
      <c r="W17" s="91">
        <v>12786</v>
      </c>
      <c r="X17" s="91">
        <v>11064</v>
      </c>
      <c r="Y17" s="91">
        <v>44926</v>
      </c>
      <c r="Z17" s="91">
        <v>4059</v>
      </c>
      <c r="AA17" s="91">
        <v>14192</v>
      </c>
      <c r="AB17" s="91">
        <v>198</v>
      </c>
      <c r="AC17" s="91">
        <v>224</v>
      </c>
      <c r="AD17" s="91">
        <v>1036</v>
      </c>
      <c r="AE17" s="91">
        <v>1036</v>
      </c>
      <c r="AF17" s="91">
        <v>420</v>
      </c>
      <c r="AG17" s="91">
        <v>1383</v>
      </c>
      <c r="AH17" s="76"/>
      <c r="AI17" s="76"/>
      <c r="AJ17" s="76"/>
      <c r="AK17" s="76"/>
      <c r="AL17" s="91">
        <v>5452.56</v>
      </c>
      <c r="AM17" s="91">
        <v>12976.92</v>
      </c>
      <c r="AN17" s="76"/>
      <c r="AO17" s="76"/>
      <c r="AP17" s="91"/>
      <c r="AQ17" s="91"/>
      <c r="AR17" s="76">
        <v>1755</v>
      </c>
      <c r="AS17" s="76">
        <v>9353</v>
      </c>
      <c r="AT17" s="91">
        <v>952</v>
      </c>
      <c r="AU17" s="91">
        <v>2922</v>
      </c>
      <c r="AV17" s="91">
        <v>2586</v>
      </c>
      <c r="AW17" s="91">
        <v>5457</v>
      </c>
      <c r="AX17" s="91">
        <v>62</v>
      </c>
      <c r="AY17" s="91">
        <v>90</v>
      </c>
      <c r="AZ17" s="76"/>
      <c r="BA17" s="76"/>
      <c r="BB17" s="91">
        <v>14737</v>
      </c>
      <c r="BC17" s="91">
        <v>34870</v>
      </c>
      <c r="BD17" s="91">
        <v>10773</v>
      </c>
      <c r="BE17" s="91">
        <v>32343</v>
      </c>
      <c r="BF17" s="91">
        <v>6781</v>
      </c>
      <c r="BG17" s="91">
        <v>20556</v>
      </c>
      <c r="BH17" s="91">
        <v>4989</v>
      </c>
      <c r="BI17" s="91">
        <v>22622</v>
      </c>
      <c r="BJ17" s="91">
        <v>320</v>
      </c>
      <c r="BK17" s="91">
        <v>2571</v>
      </c>
      <c r="BL17" s="68">
        <f t="shared" ref="BL17:BL23" si="2">SUM(B17+D17+F17+H17+J17+L17+N17+P17+R17+T17+V17+X17+Z17+AB17+AD17+AF17+AH17+AJ17+AL17+AN17+AP17+AR17+AT17+AV17+AX17+AZ17+BB17+BD17+BF17+BH17+BJ17)</f>
        <v>75453.38</v>
      </c>
      <c r="BM17" s="68">
        <f t="shared" ref="BM17:BM23" si="3">SUM(C17+E17+G17+I17+K17+M17+O17+Q17+S17+U17+W17+Y17+AA17+AC17+AE17+AG17+AI17+AK17+AM17+AO17+AQ17+AS17+AU17+AW17+AY17+BA17+BC17+BE17+BG17+BI17+BK17)</f>
        <v>237898.58000000002</v>
      </c>
    </row>
    <row r="18" spans="1:65" x14ac:dyDescent="0.25">
      <c r="A18" s="20" t="s">
        <v>281</v>
      </c>
      <c r="B18" s="76"/>
      <c r="C18" s="76"/>
      <c r="D18" s="76"/>
      <c r="E18" s="76"/>
      <c r="F18" s="76"/>
      <c r="G18" s="76"/>
      <c r="H18" s="91"/>
      <c r="I18" s="91"/>
      <c r="J18" s="76"/>
      <c r="K18" s="76"/>
      <c r="L18" s="91"/>
      <c r="M18" s="91"/>
      <c r="N18" s="76"/>
      <c r="O18" s="76"/>
      <c r="P18" s="90"/>
      <c r="Q18" s="90">
        <v>1.34</v>
      </c>
      <c r="R18" s="91">
        <v>63.32</v>
      </c>
      <c r="S18" s="91">
        <v>105.16</v>
      </c>
      <c r="T18" s="91"/>
      <c r="U18" s="91"/>
      <c r="V18" s="91">
        <v>101</v>
      </c>
      <c r="W18" s="91">
        <v>544</v>
      </c>
      <c r="X18" s="91">
        <v>765</v>
      </c>
      <c r="Y18" s="91">
        <v>1343</v>
      </c>
      <c r="Z18" s="91">
        <v>169</v>
      </c>
      <c r="AA18" s="91">
        <v>179</v>
      </c>
      <c r="AB18" s="91">
        <v>1</v>
      </c>
      <c r="AC18" s="91">
        <v>1</v>
      </c>
      <c r="AD18" s="91"/>
      <c r="AE18" s="91"/>
      <c r="AF18" s="91">
        <v>65</v>
      </c>
      <c r="AG18" s="91">
        <v>420</v>
      </c>
      <c r="AH18" s="76"/>
      <c r="AI18" s="76"/>
      <c r="AJ18" s="76"/>
      <c r="AK18" s="76"/>
      <c r="AL18" s="91">
        <v>537.66</v>
      </c>
      <c r="AM18" s="91">
        <v>837.03</v>
      </c>
      <c r="AN18" s="76"/>
      <c r="AO18" s="76"/>
      <c r="AP18" s="91"/>
      <c r="AQ18" s="91"/>
      <c r="AR18" s="76">
        <v>30</v>
      </c>
      <c r="AS18" s="76">
        <v>109</v>
      </c>
      <c r="AT18" s="91"/>
      <c r="AU18" s="91">
        <v>1</v>
      </c>
      <c r="AV18" s="91">
        <v>2</v>
      </c>
      <c r="AW18" s="91">
        <v>55</v>
      </c>
      <c r="AX18" s="91"/>
      <c r="AY18" s="91"/>
      <c r="AZ18" s="76"/>
      <c r="BA18" s="76"/>
      <c r="BB18" s="91">
        <v>226</v>
      </c>
      <c r="BC18" s="91">
        <v>344</v>
      </c>
      <c r="BD18" s="91">
        <v>4629</v>
      </c>
      <c r="BE18" s="91">
        <v>5553</v>
      </c>
      <c r="BF18" s="91">
        <v>134</v>
      </c>
      <c r="BG18" s="91">
        <v>467</v>
      </c>
      <c r="BH18" s="91">
        <v>364</v>
      </c>
      <c r="BI18" s="91">
        <v>829</v>
      </c>
      <c r="BJ18" s="91"/>
      <c r="BK18" s="91"/>
      <c r="BL18" s="68">
        <f t="shared" si="2"/>
        <v>7086.98</v>
      </c>
      <c r="BM18" s="68">
        <f t="shared" si="3"/>
        <v>10788.529999999999</v>
      </c>
    </row>
    <row r="19" spans="1:65" x14ac:dyDescent="0.25">
      <c r="A19" s="20" t="s">
        <v>282</v>
      </c>
      <c r="B19" s="76"/>
      <c r="C19" s="76"/>
      <c r="D19" s="76"/>
      <c r="E19" s="76"/>
      <c r="F19" s="76"/>
      <c r="G19" s="76"/>
      <c r="H19" s="91">
        <v>-792</v>
      </c>
      <c r="I19" s="91">
        <v>-2099</v>
      </c>
      <c r="J19" s="76"/>
      <c r="K19" s="76"/>
      <c r="L19" s="91">
        <v>811</v>
      </c>
      <c r="M19" s="91">
        <v>3250</v>
      </c>
      <c r="N19" s="76"/>
      <c r="O19" s="76"/>
      <c r="P19" s="90">
        <v>93.48</v>
      </c>
      <c r="Q19" s="90">
        <v>262.17</v>
      </c>
      <c r="R19" s="91">
        <v>143.79</v>
      </c>
      <c r="S19" s="91">
        <v>729.13</v>
      </c>
      <c r="T19" s="91">
        <v>236</v>
      </c>
      <c r="U19" s="91">
        <v>343</v>
      </c>
      <c r="V19" s="91">
        <v>-1196</v>
      </c>
      <c r="W19" s="91">
        <v>-5674</v>
      </c>
      <c r="X19" s="91">
        <v>5055</v>
      </c>
      <c r="Y19" s="91">
        <v>21749</v>
      </c>
      <c r="Z19" s="91">
        <v>1946</v>
      </c>
      <c r="AA19" s="91">
        <v>6404</v>
      </c>
      <c r="AB19" s="91">
        <v>161</v>
      </c>
      <c r="AC19" s="91">
        <v>182</v>
      </c>
      <c r="AD19" s="91">
        <v>52</v>
      </c>
      <c r="AE19" s="91">
        <v>52</v>
      </c>
      <c r="AF19" s="91">
        <v>-452</v>
      </c>
      <c r="AG19" s="91">
        <v>-1590</v>
      </c>
      <c r="AH19" s="76"/>
      <c r="AI19" s="76"/>
      <c r="AJ19" s="76"/>
      <c r="AK19" s="76"/>
      <c r="AL19" s="91">
        <v>2802.45</v>
      </c>
      <c r="AM19" s="91">
        <v>5470.73</v>
      </c>
      <c r="AN19" s="76"/>
      <c r="AO19" s="76"/>
      <c r="AP19" s="91"/>
      <c r="AQ19" s="91"/>
      <c r="AR19" s="76">
        <v>1412</v>
      </c>
      <c r="AS19" s="76">
        <v>8334</v>
      </c>
      <c r="AT19" s="91">
        <v>469</v>
      </c>
      <c r="AU19" s="91">
        <v>1285</v>
      </c>
      <c r="AV19" s="91">
        <v>1043</v>
      </c>
      <c r="AW19" s="91">
        <v>1790</v>
      </c>
      <c r="AX19" s="91">
        <v>40</v>
      </c>
      <c r="AY19" s="91">
        <v>51</v>
      </c>
      <c r="AZ19" s="76"/>
      <c r="BA19" s="76"/>
      <c r="BB19" s="91">
        <v>2574</v>
      </c>
      <c r="BC19" s="91">
        <v>5384</v>
      </c>
      <c r="BD19" s="91">
        <v>2456</v>
      </c>
      <c r="BE19" s="91">
        <v>10312</v>
      </c>
      <c r="BF19" s="91">
        <v>1778</v>
      </c>
      <c r="BG19" s="91">
        <v>5830</v>
      </c>
      <c r="BH19" s="91">
        <v>2266</v>
      </c>
      <c r="BI19" s="91">
        <v>10583</v>
      </c>
      <c r="BJ19" s="91">
        <v>207</v>
      </c>
      <c r="BK19" s="91">
        <v>2199</v>
      </c>
      <c r="BL19" s="68">
        <f t="shared" si="2"/>
        <v>21105.72</v>
      </c>
      <c r="BM19" s="68">
        <f t="shared" si="3"/>
        <v>74847.03</v>
      </c>
    </row>
    <row r="20" spans="1:65" s="7" customFormat="1" x14ac:dyDescent="0.25">
      <c r="A20" s="3" t="s">
        <v>283</v>
      </c>
      <c r="B20" s="10"/>
      <c r="C20" s="10"/>
      <c r="D20" s="10"/>
      <c r="E20" s="10"/>
      <c r="F20" s="10"/>
      <c r="G20" s="10"/>
      <c r="H20" s="10">
        <v>2313</v>
      </c>
      <c r="I20" s="10">
        <v>6563</v>
      </c>
      <c r="J20" s="10"/>
      <c r="K20" s="10"/>
      <c r="L20" s="10">
        <v>798</v>
      </c>
      <c r="M20" s="10">
        <v>2036</v>
      </c>
      <c r="N20" s="10"/>
      <c r="O20" s="10"/>
      <c r="P20" s="127">
        <v>8.0500000000000007</v>
      </c>
      <c r="Q20" s="127">
        <v>33.090000000000003</v>
      </c>
      <c r="R20" s="10">
        <v>1013.82</v>
      </c>
      <c r="S20" s="10">
        <v>4313.78</v>
      </c>
      <c r="T20" s="10">
        <v>16</v>
      </c>
      <c r="U20" s="10">
        <v>68</v>
      </c>
      <c r="V20" s="10">
        <v>3011</v>
      </c>
      <c r="W20" s="10">
        <v>7656</v>
      </c>
      <c r="X20" s="10">
        <v>6774</v>
      </c>
      <c r="Y20" s="10">
        <v>24520</v>
      </c>
      <c r="Z20" s="10">
        <v>2282</v>
      </c>
      <c r="AA20" s="10">
        <v>7967</v>
      </c>
      <c r="AB20" s="10">
        <v>38</v>
      </c>
      <c r="AC20" s="10">
        <v>43</v>
      </c>
      <c r="AD20" s="10">
        <v>984</v>
      </c>
      <c r="AE20" s="10">
        <v>984</v>
      </c>
      <c r="AF20" s="10">
        <v>32</v>
      </c>
      <c r="AG20" s="10">
        <v>212</v>
      </c>
      <c r="AH20" s="10"/>
      <c r="AI20" s="10"/>
      <c r="AJ20" s="10"/>
      <c r="AK20" s="10"/>
      <c r="AL20" s="10">
        <v>3187.77</v>
      </c>
      <c r="AM20" s="10">
        <v>8343.2199999999993</v>
      </c>
      <c r="AN20" s="10"/>
      <c r="AO20" s="10"/>
      <c r="AP20" s="10"/>
      <c r="AQ20" s="10"/>
      <c r="AR20" s="10">
        <v>373</v>
      </c>
      <c r="AS20" s="10">
        <v>1128</v>
      </c>
      <c r="AT20" s="10">
        <v>483</v>
      </c>
      <c r="AU20" s="10">
        <v>1638</v>
      </c>
      <c r="AV20" s="10">
        <v>1546</v>
      </c>
      <c r="AW20" s="10">
        <v>3722</v>
      </c>
      <c r="AX20" s="10">
        <v>22</v>
      </c>
      <c r="AY20" s="10">
        <v>39</v>
      </c>
      <c r="AZ20" s="10"/>
      <c r="BA20" s="10"/>
      <c r="BB20" s="10">
        <v>12389</v>
      </c>
      <c r="BC20" s="10">
        <v>29830</v>
      </c>
      <c r="BD20" s="10">
        <v>12946</v>
      </c>
      <c r="BE20" s="10">
        <v>27584</v>
      </c>
      <c r="BF20" s="10">
        <v>5137</v>
      </c>
      <c r="BG20" s="10">
        <v>15194</v>
      </c>
      <c r="BH20" s="10">
        <v>3086</v>
      </c>
      <c r="BI20" s="10">
        <v>12869</v>
      </c>
      <c r="BJ20" s="10">
        <v>113</v>
      </c>
      <c r="BK20" s="10">
        <v>372</v>
      </c>
      <c r="BL20" s="63">
        <f t="shared" si="2"/>
        <v>56552.639999999999</v>
      </c>
      <c r="BM20" s="63">
        <f t="shared" si="3"/>
        <v>155115.09</v>
      </c>
    </row>
    <row r="21" spans="1:65" x14ac:dyDescent="0.25">
      <c r="A21" s="20" t="s">
        <v>284</v>
      </c>
      <c r="B21" s="76"/>
      <c r="C21" s="76"/>
      <c r="D21" s="76"/>
      <c r="E21" s="76"/>
      <c r="F21" s="76"/>
      <c r="G21" s="76"/>
      <c r="H21" s="91">
        <v>8689</v>
      </c>
      <c r="I21" s="91">
        <v>8689</v>
      </c>
      <c r="J21" s="76"/>
      <c r="K21" s="76"/>
      <c r="L21" s="91">
        <v>1112</v>
      </c>
      <c r="M21" s="91">
        <v>1112</v>
      </c>
      <c r="N21" s="76"/>
      <c r="O21" s="76"/>
      <c r="P21" s="90">
        <v>64.510000000000005</v>
      </c>
      <c r="Q21" s="90">
        <v>64.510000000000005</v>
      </c>
      <c r="R21" s="91">
        <v>3867.43</v>
      </c>
      <c r="S21" s="91">
        <v>3867.43</v>
      </c>
      <c r="T21" s="91">
        <v>29</v>
      </c>
      <c r="U21" s="91">
        <v>29</v>
      </c>
      <c r="V21" s="91">
        <v>7948</v>
      </c>
      <c r="W21" s="91">
        <v>7948</v>
      </c>
      <c r="X21" s="91">
        <v>26154</v>
      </c>
      <c r="Y21" s="91">
        <v>26154</v>
      </c>
      <c r="Z21" s="91">
        <v>1311</v>
      </c>
      <c r="AA21" s="91">
        <v>8187</v>
      </c>
      <c r="AB21" s="91">
        <v>14</v>
      </c>
      <c r="AC21" s="91">
        <v>14</v>
      </c>
      <c r="AD21" s="91">
        <v>1111</v>
      </c>
      <c r="AE21" s="91">
        <v>1111</v>
      </c>
      <c r="AF21" s="91">
        <v>429</v>
      </c>
      <c r="AG21" s="91">
        <v>429</v>
      </c>
      <c r="AH21" s="76"/>
      <c r="AI21" s="76"/>
      <c r="AJ21" s="76"/>
      <c r="AK21" s="76"/>
      <c r="AL21" s="91">
        <v>25206.14</v>
      </c>
      <c r="AM21" s="91">
        <v>25206.14</v>
      </c>
      <c r="AN21" s="76"/>
      <c r="AO21" s="76"/>
      <c r="AP21" s="91">
        <v>4</v>
      </c>
      <c r="AQ21" s="91">
        <v>4</v>
      </c>
      <c r="AR21" s="76">
        <v>3162</v>
      </c>
      <c r="AS21" s="76">
        <v>3162</v>
      </c>
      <c r="AT21" s="91">
        <v>1629</v>
      </c>
      <c r="AU21" s="91">
        <v>1629</v>
      </c>
      <c r="AV21" s="91">
        <v>4647</v>
      </c>
      <c r="AW21" s="91">
        <v>4647</v>
      </c>
      <c r="AX21" s="91">
        <v>-22</v>
      </c>
      <c r="AY21" s="91">
        <v>60</v>
      </c>
      <c r="AZ21" s="76"/>
      <c r="BA21" s="76"/>
      <c r="BB21" s="91">
        <v>29165</v>
      </c>
      <c r="BC21" s="91">
        <v>29165</v>
      </c>
      <c r="BD21" s="91">
        <v>52745</v>
      </c>
      <c r="BE21" s="91">
        <v>52745</v>
      </c>
      <c r="BF21" s="91">
        <v>-134</v>
      </c>
      <c r="BG21" s="91">
        <v>26389</v>
      </c>
      <c r="BH21" s="91">
        <v>34177</v>
      </c>
      <c r="BI21" s="91">
        <v>34177</v>
      </c>
      <c r="BJ21" s="91">
        <v>-76</v>
      </c>
      <c r="BK21" s="91">
        <v>387</v>
      </c>
      <c r="BL21" s="68">
        <f t="shared" si="2"/>
        <v>201232.08000000002</v>
      </c>
      <c r="BM21" s="68">
        <f t="shared" si="3"/>
        <v>235176.08000000002</v>
      </c>
    </row>
    <row r="22" spans="1:65" ht="15" customHeight="1" x14ac:dyDescent="0.25">
      <c r="A22" s="20" t="s">
        <v>285</v>
      </c>
      <c r="B22" s="76"/>
      <c r="C22" s="76"/>
      <c r="D22" s="76"/>
      <c r="E22" s="76"/>
      <c r="F22" s="76"/>
      <c r="G22" s="76"/>
      <c r="H22" s="91">
        <v>9551</v>
      </c>
      <c r="I22" s="91">
        <v>7596</v>
      </c>
      <c r="J22" s="76"/>
      <c r="K22" s="76"/>
      <c r="L22" s="91">
        <v>1645</v>
      </c>
      <c r="M22" s="91">
        <v>1005</v>
      </c>
      <c r="N22" s="76"/>
      <c r="O22" s="76"/>
      <c r="P22" s="90">
        <v>66.510000000000005</v>
      </c>
      <c r="Q22" s="90">
        <v>37.950000000000003</v>
      </c>
      <c r="R22" s="91">
        <v>3725.44</v>
      </c>
      <c r="S22" s="91">
        <v>4044.61</v>
      </c>
      <c r="T22" s="91">
        <v>60</v>
      </c>
      <c r="U22" s="91">
        <v>66</v>
      </c>
      <c r="V22" s="91">
        <v>-7346</v>
      </c>
      <c r="W22" s="91">
        <v>-4172</v>
      </c>
      <c r="X22" s="91">
        <v>25381</v>
      </c>
      <c r="Y22" s="91">
        <v>17308</v>
      </c>
      <c r="Z22" s="91"/>
      <c r="AA22" s="91">
        <v>4127</v>
      </c>
      <c r="AB22" s="91">
        <v>4</v>
      </c>
      <c r="AC22" s="91">
        <v>0.14000000000000001</v>
      </c>
      <c r="AD22" s="91">
        <v>903</v>
      </c>
      <c r="AE22" s="91">
        <v>903</v>
      </c>
      <c r="AF22" s="91">
        <v>-466</v>
      </c>
      <c r="AG22" s="91">
        <v>-629</v>
      </c>
      <c r="AH22" s="76"/>
      <c r="AI22" s="76"/>
      <c r="AJ22" s="76"/>
      <c r="AK22" s="76"/>
      <c r="AL22" s="91">
        <v>23372.35</v>
      </c>
      <c r="AM22" s="91">
        <v>20357.36</v>
      </c>
      <c r="AN22" s="76"/>
      <c r="AO22" s="76"/>
      <c r="AP22" s="91">
        <v>8</v>
      </c>
      <c r="AQ22" s="91">
        <v>7</v>
      </c>
      <c r="AR22" s="76">
        <v>3222</v>
      </c>
      <c r="AS22" s="76">
        <v>2546</v>
      </c>
      <c r="AT22" s="91">
        <v>1613</v>
      </c>
      <c r="AU22" s="91">
        <v>1487</v>
      </c>
      <c r="AV22" s="91">
        <v>4861</v>
      </c>
      <c r="AW22" s="91">
        <v>2856</v>
      </c>
      <c r="AX22" s="91"/>
      <c r="AY22" s="91">
        <v>87</v>
      </c>
      <c r="AZ22" s="76"/>
      <c r="BA22" s="76"/>
      <c r="BB22" s="91">
        <v>32596</v>
      </c>
      <c r="BC22" s="91">
        <v>20614</v>
      </c>
      <c r="BD22" s="91">
        <v>51510</v>
      </c>
      <c r="BE22" s="91">
        <v>43120</v>
      </c>
      <c r="BF22" s="91">
        <v>0</v>
      </c>
      <c r="BG22" s="91">
        <v>23951</v>
      </c>
      <c r="BH22" s="91">
        <v>29088</v>
      </c>
      <c r="BI22" s="91">
        <v>29088</v>
      </c>
      <c r="BJ22" s="91"/>
      <c r="BK22" s="91">
        <v>383</v>
      </c>
      <c r="BL22" s="68">
        <f t="shared" si="2"/>
        <v>179794.3</v>
      </c>
      <c r="BM22" s="68">
        <f t="shared" si="3"/>
        <v>174783.06</v>
      </c>
    </row>
    <row r="23" spans="1:65" s="7" customFormat="1" x14ac:dyDescent="0.25">
      <c r="A23" s="3" t="s">
        <v>286</v>
      </c>
      <c r="B23" s="10"/>
      <c r="C23" s="10"/>
      <c r="D23" s="10"/>
      <c r="E23" s="10"/>
      <c r="F23" s="10"/>
      <c r="G23" s="10"/>
      <c r="H23" s="10">
        <v>1452</v>
      </c>
      <c r="I23" s="10">
        <v>7656</v>
      </c>
      <c r="J23" s="10"/>
      <c r="K23" s="10"/>
      <c r="L23" s="10">
        <v>264</v>
      </c>
      <c r="M23" s="10">
        <v>2143</v>
      </c>
      <c r="N23" s="10"/>
      <c r="O23" s="10"/>
      <c r="P23" s="127">
        <v>6.05</v>
      </c>
      <c r="Q23" s="127">
        <v>59.65</v>
      </c>
      <c r="R23" s="10">
        <v>1155.82</v>
      </c>
      <c r="S23" s="10">
        <v>4136.6000000000004</v>
      </c>
      <c r="T23" s="10">
        <v>-15</v>
      </c>
      <c r="U23" s="10">
        <v>31</v>
      </c>
      <c r="V23" s="10">
        <v>3613</v>
      </c>
      <c r="W23" s="10">
        <v>11433</v>
      </c>
      <c r="X23" s="10">
        <v>7547</v>
      </c>
      <c r="Y23" s="10">
        <v>29239</v>
      </c>
      <c r="Z23" s="10">
        <v>3593</v>
      </c>
      <c r="AA23" s="10">
        <v>12027</v>
      </c>
      <c r="AB23" s="10">
        <v>47</v>
      </c>
      <c r="AC23" s="10">
        <v>56</v>
      </c>
      <c r="AD23" s="10">
        <v>1192</v>
      </c>
      <c r="AE23" s="10">
        <v>1192</v>
      </c>
      <c r="AF23" s="10">
        <v>-5</v>
      </c>
      <c r="AG23" s="10">
        <v>12</v>
      </c>
      <c r="AH23" s="10"/>
      <c r="AI23" s="10"/>
      <c r="AJ23" s="10"/>
      <c r="AK23" s="10"/>
      <c r="AL23" s="10">
        <v>5021.5600000000004</v>
      </c>
      <c r="AM23" s="10">
        <v>13192</v>
      </c>
      <c r="AN23" s="10"/>
      <c r="AO23" s="10"/>
      <c r="AP23" s="10">
        <v>-4</v>
      </c>
      <c r="AQ23" s="10">
        <v>-3</v>
      </c>
      <c r="AR23" s="10">
        <v>312</v>
      </c>
      <c r="AS23" s="10">
        <v>1744</v>
      </c>
      <c r="AT23" s="10">
        <v>499</v>
      </c>
      <c r="AU23" s="10">
        <v>1780</v>
      </c>
      <c r="AV23" s="10">
        <v>1333</v>
      </c>
      <c r="AW23" s="10">
        <v>5513</v>
      </c>
      <c r="AX23" s="10">
        <v>0</v>
      </c>
      <c r="AY23" s="10">
        <v>12</v>
      </c>
      <c r="AZ23" s="10"/>
      <c r="BA23" s="10"/>
      <c r="BB23" s="10">
        <v>8958</v>
      </c>
      <c r="BC23" s="10">
        <v>38380</v>
      </c>
      <c r="BD23" s="10">
        <v>14181</v>
      </c>
      <c r="BE23" s="10">
        <v>37210</v>
      </c>
      <c r="BF23" s="10">
        <v>5003</v>
      </c>
      <c r="BG23" s="10">
        <v>17631</v>
      </c>
      <c r="BH23" s="10">
        <v>8175</v>
      </c>
      <c r="BI23" s="10">
        <v>17958</v>
      </c>
      <c r="BJ23" s="10">
        <v>38</v>
      </c>
      <c r="BK23" s="10">
        <v>376</v>
      </c>
      <c r="BL23" s="63">
        <f t="shared" si="2"/>
        <v>62366.43</v>
      </c>
      <c r="BM23" s="63">
        <f t="shared" si="3"/>
        <v>201778.25</v>
      </c>
    </row>
    <row r="24" spans="1:65" x14ac:dyDescent="0.25">
      <c r="A24" s="13"/>
    </row>
    <row r="25" spans="1:65" x14ac:dyDescent="0.25">
      <c r="A25" s="27" t="s">
        <v>184</v>
      </c>
    </row>
    <row r="26" spans="1:65" x14ac:dyDescent="0.25">
      <c r="A26" s="3" t="s">
        <v>0</v>
      </c>
      <c r="B26" s="154" t="s">
        <v>1</v>
      </c>
      <c r="C26" s="155"/>
      <c r="D26" s="154" t="s">
        <v>234</v>
      </c>
      <c r="E26" s="155"/>
      <c r="F26" s="154" t="s">
        <v>2</v>
      </c>
      <c r="G26" s="155"/>
      <c r="H26" s="154" t="s">
        <v>3</v>
      </c>
      <c r="I26" s="155"/>
      <c r="J26" s="154" t="s">
        <v>243</v>
      </c>
      <c r="K26" s="155"/>
      <c r="L26" s="154" t="s">
        <v>235</v>
      </c>
      <c r="M26" s="155"/>
      <c r="N26" s="154" t="s">
        <v>5</v>
      </c>
      <c r="O26" s="155"/>
      <c r="P26" s="154" t="s">
        <v>4</v>
      </c>
      <c r="Q26" s="155"/>
      <c r="R26" s="154" t="s">
        <v>6</v>
      </c>
      <c r="S26" s="155"/>
      <c r="T26" s="154" t="s">
        <v>246</v>
      </c>
      <c r="U26" s="155"/>
      <c r="V26" s="154" t="s">
        <v>7</v>
      </c>
      <c r="W26" s="155"/>
      <c r="X26" s="154" t="s">
        <v>8</v>
      </c>
      <c r="Y26" s="155"/>
      <c r="Z26" s="154" t="s">
        <v>9</v>
      </c>
      <c r="AA26" s="155"/>
      <c r="AB26" s="154" t="s">
        <v>242</v>
      </c>
      <c r="AC26" s="155"/>
      <c r="AD26" s="154" t="s">
        <v>10</v>
      </c>
      <c r="AE26" s="155"/>
      <c r="AF26" s="154" t="s">
        <v>11</v>
      </c>
      <c r="AG26" s="155"/>
      <c r="AH26" s="154" t="s">
        <v>236</v>
      </c>
      <c r="AI26" s="155"/>
      <c r="AJ26" s="154" t="s">
        <v>245</v>
      </c>
      <c r="AK26" s="155"/>
      <c r="AL26" s="154" t="s">
        <v>12</v>
      </c>
      <c r="AM26" s="155"/>
      <c r="AN26" s="154" t="s">
        <v>237</v>
      </c>
      <c r="AO26" s="155"/>
      <c r="AP26" s="154" t="s">
        <v>238</v>
      </c>
      <c r="AQ26" s="155"/>
      <c r="AR26" s="154" t="s">
        <v>241</v>
      </c>
      <c r="AS26" s="155"/>
      <c r="AT26" s="154" t="s">
        <v>13</v>
      </c>
      <c r="AU26" s="155"/>
      <c r="AV26" s="154" t="s">
        <v>14</v>
      </c>
      <c r="AW26" s="155"/>
      <c r="AX26" s="154" t="s">
        <v>15</v>
      </c>
      <c r="AY26" s="155"/>
      <c r="AZ26" s="154" t="s">
        <v>16</v>
      </c>
      <c r="BA26" s="155"/>
      <c r="BB26" s="154" t="s">
        <v>17</v>
      </c>
      <c r="BC26" s="155"/>
      <c r="BD26" s="154" t="s">
        <v>239</v>
      </c>
      <c r="BE26" s="155"/>
      <c r="BF26" s="154" t="s">
        <v>240</v>
      </c>
      <c r="BG26" s="155"/>
      <c r="BH26" s="154" t="s">
        <v>18</v>
      </c>
      <c r="BI26" s="155"/>
      <c r="BJ26" s="154" t="s">
        <v>19</v>
      </c>
      <c r="BK26" s="155"/>
      <c r="BL26" s="156" t="s">
        <v>20</v>
      </c>
      <c r="BM26" s="157"/>
    </row>
    <row r="27" spans="1:65" ht="30" x14ac:dyDescent="0.25">
      <c r="A27" s="3"/>
      <c r="B27" s="53" t="s">
        <v>300</v>
      </c>
      <c r="C27" s="54" t="s">
        <v>301</v>
      </c>
      <c r="D27" s="53" t="s">
        <v>300</v>
      </c>
      <c r="E27" s="54" t="s">
        <v>301</v>
      </c>
      <c r="F27" s="53" t="s">
        <v>300</v>
      </c>
      <c r="G27" s="54" t="s">
        <v>301</v>
      </c>
      <c r="H27" s="53" t="s">
        <v>300</v>
      </c>
      <c r="I27" s="54" t="s">
        <v>301</v>
      </c>
      <c r="J27" s="53" t="s">
        <v>300</v>
      </c>
      <c r="K27" s="54" t="s">
        <v>301</v>
      </c>
      <c r="L27" s="53" t="s">
        <v>300</v>
      </c>
      <c r="M27" s="54" t="s">
        <v>301</v>
      </c>
      <c r="N27" s="53" t="s">
        <v>300</v>
      </c>
      <c r="O27" s="54" t="s">
        <v>301</v>
      </c>
      <c r="P27" s="53" t="s">
        <v>300</v>
      </c>
      <c r="Q27" s="54" t="s">
        <v>301</v>
      </c>
      <c r="R27" s="53" t="s">
        <v>300</v>
      </c>
      <c r="S27" s="54" t="s">
        <v>301</v>
      </c>
      <c r="T27" s="53" t="s">
        <v>300</v>
      </c>
      <c r="U27" s="54" t="s">
        <v>301</v>
      </c>
      <c r="V27" s="53" t="s">
        <v>300</v>
      </c>
      <c r="W27" s="54" t="s">
        <v>301</v>
      </c>
      <c r="X27" s="53" t="s">
        <v>300</v>
      </c>
      <c r="Y27" s="54" t="s">
        <v>301</v>
      </c>
      <c r="Z27" s="53" t="s">
        <v>300</v>
      </c>
      <c r="AA27" s="54" t="s">
        <v>301</v>
      </c>
      <c r="AB27" s="53" t="s">
        <v>300</v>
      </c>
      <c r="AC27" s="54" t="s">
        <v>301</v>
      </c>
      <c r="AD27" s="53" t="s">
        <v>300</v>
      </c>
      <c r="AE27" s="54" t="s">
        <v>301</v>
      </c>
      <c r="AF27" s="53" t="s">
        <v>300</v>
      </c>
      <c r="AG27" s="54" t="s">
        <v>301</v>
      </c>
      <c r="AH27" s="53" t="s">
        <v>300</v>
      </c>
      <c r="AI27" s="54" t="s">
        <v>301</v>
      </c>
      <c r="AJ27" s="53" t="s">
        <v>300</v>
      </c>
      <c r="AK27" s="54" t="s">
        <v>301</v>
      </c>
      <c r="AL27" s="53" t="s">
        <v>300</v>
      </c>
      <c r="AM27" s="54" t="s">
        <v>301</v>
      </c>
      <c r="AN27" s="53" t="s">
        <v>300</v>
      </c>
      <c r="AO27" s="54" t="s">
        <v>301</v>
      </c>
      <c r="AP27" s="53" t="s">
        <v>300</v>
      </c>
      <c r="AQ27" s="54" t="s">
        <v>301</v>
      </c>
      <c r="AR27" s="53" t="s">
        <v>300</v>
      </c>
      <c r="AS27" s="54" t="s">
        <v>301</v>
      </c>
      <c r="AT27" s="53" t="s">
        <v>300</v>
      </c>
      <c r="AU27" s="54" t="s">
        <v>301</v>
      </c>
      <c r="AV27" s="53" t="s">
        <v>300</v>
      </c>
      <c r="AW27" s="54" t="s">
        <v>301</v>
      </c>
      <c r="AX27" s="53" t="s">
        <v>300</v>
      </c>
      <c r="AY27" s="54" t="s">
        <v>301</v>
      </c>
      <c r="AZ27" s="53" t="s">
        <v>300</v>
      </c>
      <c r="BA27" s="54" t="s">
        <v>301</v>
      </c>
      <c r="BB27" s="53" t="s">
        <v>300</v>
      </c>
      <c r="BC27" s="54" t="s">
        <v>301</v>
      </c>
      <c r="BD27" s="53" t="s">
        <v>300</v>
      </c>
      <c r="BE27" s="54" t="s">
        <v>301</v>
      </c>
      <c r="BF27" s="53" t="s">
        <v>300</v>
      </c>
      <c r="BG27" s="54" t="s">
        <v>301</v>
      </c>
      <c r="BH27" s="53" t="s">
        <v>300</v>
      </c>
      <c r="BI27" s="54" t="s">
        <v>301</v>
      </c>
      <c r="BJ27" s="53" t="s">
        <v>300</v>
      </c>
      <c r="BK27" s="54" t="s">
        <v>301</v>
      </c>
      <c r="BL27" s="104" t="s">
        <v>300</v>
      </c>
      <c r="BM27" s="105" t="s">
        <v>301</v>
      </c>
    </row>
    <row r="28" spans="1:65" x14ac:dyDescent="0.25">
      <c r="A28" s="20" t="s">
        <v>280</v>
      </c>
      <c r="B28" s="91">
        <v>5784</v>
      </c>
      <c r="C28" s="91">
        <v>15037</v>
      </c>
      <c r="D28" s="76"/>
      <c r="E28" s="76"/>
      <c r="F28" s="76"/>
      <c r="G28" s="76"/>
      <c r="H28" s="91">
        <v>74727</v>
      </c>
      <c r="I28" s="91">
        <v>236395</v>
      </c>
      <c r="J28" s="76"/>
      <c r="K28" s="76"/>
      <c r="L28" s="91">
        <v>45537</v>
      </c>
      <c r="M28" s="91">
        <v>153157</v>
      </c>
      <c r="N28" s="76"/>
      <c r="O28" s="76"/>
      <c r="P28" s="90">
        <v>2800.81</v>
      </c>
      <c r="Q28" s="90">
        <v>8298.2099999999991</v>
      </c>
      <c r="R28" s="91">
        <v>22518.76</v>
      </c>
      <c r="S28" s="91">
        <v>81241.88</v>
      </c>
      <c r="T28" s="91">
        <v>18338</v>
      </c>
      <c r="U28" s="91">
        <v>28158</v>
      </c>
      <c r="V28" s="91">
        <v>48018</v>
      </c>
      <c r="W28" s="91">
        <v>155072</v>
      </c>
      <c r="X28" s="91">
        <v>104767</v>
      </c>
      <c r="Y28" s="91">
        <v>410853</v>
      </c>
      <c r="Z28" s="91">
        <v>68924</v>
      </c>
      <c r="AA28" s="91">
        <v>227500</v>
      </c>
      <c r="AB28" s="91">
        <v>5157</v>
      </c>
      <c r="AC28" s="91">
        <v>14795</v>
      </c>
      <c r="AD28" s="91">
        <v>11745</v>
      </c>
      <c r="AE28" s="91">
        <v>42188</v>
      </c>
      <c r="AF28" s="91">
        <v>12630</v>
      </c>
      <c r="AG28" s="91">
        <v>36441</v>
      </c>
      <c r="AH28" s="76"/>
      <c r="AI28" s="76"/>
      <c r="AJ28" s="76"/>
      <c r="AK28" s="76"/>
      <c r="AL28" s="91">
        <v>125432.59</v>
      </c>
      <c r="AM28" s="91">
        <v>380395.37</v>
      </c>
      <c r="AN28" s="91">
        <v>597</v>
      </c>
      <c r="AO28" s="91">
        <v>1849</v>
      </c>
      <c r="AP28" s="91">
        <v>5202</v>
      </c>
      <c r="AQ28" s="91">
        <v>15833</v>
      </c>
      <c r="AR28" s="76">
        <v>53109</v>
      </c>
      <c r="AS28" s="76">
        <v>166312</v>
      </c>
      <c r="AT28" s="91">
        <v>41580</v>
      </c>
      <c r="AU28" s="91">
        <v>122834</v>
      </c>
      <c r="AV28" s="91">
        <v>27580</v>
      </c>
      <c r="AW28" s="91">
        <v>118070</v>
      </c>
      <c r="AX28" s="91">
        <v>35575</v>
      </c>
      <c r="AY28" s="91">
        <v>108273</v>
      </c>
      <c r="AZ28" s="76"/>
      <c r="BA28" s="76"/>
      <c r="BB28" s="91">
        <v>68923</v>
      </c>
      <c r="BC28" s="91">
        <v>210496</v>
      </c>
      <c r="BD28" s="91">
        <v>221545</v>
      </c>
      <c r="BE28" s="91">
        <v>688643</v>
      </c>
      <c r="BF28" s="91">
        <v>85642</v>
      </c>
      <c r="BG28" s="91">
        <v>243560</v>
      </c>
      <c r="BH28" s="91">
        <v>124425</v>
      </c>
      <c r="BI28" s="91">
        <v>359092</v>
      </c>
      <c r="BJ28" s="91">
        <v>21855</v>
      </c>
      <c r="BK28" s="91">
        <v>61491</v>
      </c>
      <c r="BL28" s="68">
        <f t="shared" ref="BL28:BL34" si="4">SUM(B28+D28+F28+H28+J28+L28+N28+P28+R28+T28+V28+X28+Z28+AB28+AD28+AF28+AH28+AJ28+AL28+AN28+AP28+AR28+AT28+AV28+AX28+AZ28+BB28+BD28+BF28+BH28+BJ28)</f>
        <v>1232412.1600000001</v>
      </c>
      <c r="BM28" s="68">
        <f t="shared" ref="BM28:BM34" si="5">SUM(C28+E28+G28+I28+K28+M28+O28+Q28+S28+U28+W28+Y28+AA28+AC28+AE28+AG28+AI28+AK28+AM28+AO28+AQ28+AS28+AU28+AW28+AY28+BA28+BC28+BE28+BG28+BI28+BK28)</f>
        <v>3885984.46</v>
      </c>
    </row>
    <row r="29" spans="1:65" x14ac:dyDescent="0.25">
      <c r="A29" s="20" t="s">
        <v>281</v>
      </c>
      <c r="B29" s="91"/>
      <c r="C29" s="91"/>
      <c r="D29" s="76"/>
      <c r="E29" s="76"/>
      <c r="F29" s="76"/>
      <c r="G29" s="76"/>
      <c r="H29" s="91"/>
      <c r="I29" s="91"/>
      <c r="J29" s="76"/>
      <c r="K29" s="76"/>
      <c r="L29" s="91"/>
      <c r="M29" s="91"/>
      <c r="N29" s="76"/>
      <c r="O29" s="76"/>
      <c r="P29" s="90"/>
      <c r="Q29" s="90"/>
      <c r="R29" s="91"/>
      <c r="S29" s="91"/>
      <c r="T29" s="91">
        <v>1928</v>
      </c>
      <c r="U29" s="91">
        <v>29558</v>
      </c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76"/>
      <c r="AI29" s="76"/>
      <c r="AJ29" s="76"/>
      <c r="AK29" s="76"/>
      <c r="AL29" s="91">
        <v>10.47</v>
      </c>
      <c r="AM29" s="91">
        <v>11.88</v>
      </c>
      <c r="AN29" s="91"/>
      <c r="AO29" s="91"/>
      <c r="AP29" s="91"/>
      <c r="AQ29" s="91"/>
      <c r="AR29" s="76"/>
      <c r="AS29" s="76"/>
      <c r="AT29" s="91"/>
      <c r="AU29" s="91"/>
      <c r="AV29" s="91"/>
      <c r="AW29" s="91"/>
      <c r="AX29" s="91"/>
      <c r="AY29" s="91"/>
      <c r="AZ29" s="76"/>
      <c r="BA29" s="76"/>
      <c r="BB29" s="91">
        <v>375</v>
      </c>
      <c r="BC29" s="91">
        <v>458</v>
      </c>
      <c r="BD29" s="91">
        <v>208</v>
      </c>
      <c r="BE29" s="91">
        <v>901</v>
      </c>
      <c r="BF29" s="91">
        <v>7</v>
      </c>
      <c r="BG29" s="91">
        <v>22</v>
      </c>
      <c r="BH29" s="91"/>
      <c r="BI29" s="91">
        <v>0</v>
      </c>
      <c r="BJ29" s="91"/>
      <c r="BK29" s="91"/>
      <c r="BL29" s="68">
        <f t="shared" si="4"/>
        <v>2528.4700000000003</v>
      </c>
      <c r="BM29" s="68">
        <f t="shared" si="5"/>
        <v>30950.880000000001</v>
      </c>
    </row>
    <row r="30" spans="1:65" x14ac:dyDescent="0.25">
      <c r="A30" s="20" t="s">
        <v>282</v>
      </c>
      <c r="B30" s="91">
        <v>3666</v>
      </c>
      <c r="C30" s="91">
        <v>9618</v>
      </c>
      <c r="D30" s="76"/>
      <c r="E30" s="76"/>
      <c r="F30" s="76"/>
      <c r="G30" s="76"/>
      <c r="H30" s="91">
        <v>-8978</v>
      </c>
      <c r="I30" s="91">
        <v>-26512</v>
      </c>
      <c r="J30" s="76"/>
      <c r="K30" s="76"/>
      <c r="L30" s="91">
        <v>10218</v>
      </c>
      <c r="M30" s="91">
        <v>32496</v>
      </c>
      <c r="N30" s="76"/>
      <c r="O30" s="76"/>
      <c r="P30" s="90">
        <v>566.30999999999995</v>
      </c>
      <c r="Q30" s="90">
        <v>1002</v>
      </c>
      <c r="R30" s="91">
        <v>1174.69</v>
      </c>
      <c r="S30" s="91">
        <v>4401.53</v>
      </c>
      <c r="T30" s="91">
        <v>1338</v>
      </c>
      <c r="U30" s="91">
        <v>4048</v>
      </c>
      <c r="V30" s="91">
        <v>-3094</v>
      </c>
      <c r="W30" s="91">
        <v>-43049</v>
      </c>
      <c r="X30" s="91">
        <v>8959</v>
      </c>
      <c r="Y30" s="91">
        <v>32851</v>
      </c>
      <c r="Z30" s="91">
        <v>10250</v>
      </c>
      <c r="AA30" s="91">
        <v>39401</v>
      </c>
      <c r="AB30" s="91">
        <v>1100</v>
      </c>
      <c r="AC30" s="91">
        <v>2158</v>
      </c>
      <c r="AD30" s="91">
        <v>577</v>
      </c>
      <c r="AE30" s="91">
        <v>2059</v>
      </c>
      <c r="AF30" s="91">
        <v>-6131</v>
      </c>
      <c r="AG30" s="91">
        <v>-17002</v>
      </c>
      <c r="AH30" s="76"/>
      <c r="AI30" s="76"/>
      <c r="AJ30" s="76"/>
      <c r="AK30" s="76"/>
      <c r="AL30" s="91">
        <v>12044.91</v>
      </c>
      <c r="AM30" s="91">
        <v>38117.29</v>
      </c>
      <c r="AN30" s="91">
        <v>-30</v>
      </c>
      <c r="AO30" s="91">
        <v>-92</v>
      </c>
      <c r="AP30" s="91">
        <v>260</v>
      </c>
      <c r="AQ30" s="91">
        <v>792</v>
      </c>
      <c r="AR30" s="76">
        <v>16531</v>
      </c>
      <c r="AS30" s="76">
        <v>43963</v>
      </c>
      <c r="AT30" s="91">
        <v>7095</v>
      </c>
      <c r="AU30" s="91">
        <v>22725</v>
      </c>
      <c r="AV30" s="91">
        <v>7565</v>
      </c>
      <c r="AW30" s="91">
        <v>52382</v>
      </c>
      <c r="AX30" s="91">
        <v>1937</v>
      </c>
      <c r="AY30" s="91">
        <v>6291</v>
      </c>
      <c r="AZ30" s="76"/>
      <c r="BA30" s="76"/>
      <c r="BB30" s="91">
        <v>14800</v>
      </c>
      <c r="BC30" s="91">
        <v>46738</v>
      </c>
      <c r="BD30" s="91">
        <v>11144</v>
      </c>
      <c r="BE30" s="91">
        <v>34311</v>
      </c>
      <c r="BF30" s="91">
        <v>4638</v>
      </c>
      <c r="BG30" s="91">
        <v>14204</v>
      </c>
      <c r="BH30" s="91">
        <v>6261</v>
      </c>
      <c r="BI30" s="91">
        <v>19182</v>
      </c>
      <c r="BJ30" s="91">
        <v>9232</v>
      </c>
      <c r="BK30" s="91">
        <v>19184</v>
      </c>
      <c r="BL30" s="68">
        <f t="shared" si="4"/>
        <v>111123.91</v>
      </c>
      <c r="BM30" s="68">
        <f t="shared" si="5"/>
        <v>339268.82</v>
      </c>
    </row>
    <row r="31" spans="1:65" s="7" customFormat="1" x14ac:dyDescent="0.25">
      <c r="A31" s="3" t="s">
        <v>283</v>
      </c>
      <c r="B31" s="10">
        <v>2118</v>
      </c>
      <c r="C31" s="10">
        <v>5419</v>
      </c>
      <c r="D31" s="10"/>
      <c r="E31" s="10"/>
      <c r="F31" s="10"/>
      <c r="G31" s="10"/>
      <c r="H31" s="10">
        <v>65749</v>
      </c>
      <c r="I31" s="10">
        <v>209883</v>
      </c>
      <c r="J31" s="10"/>
      <c r="K31" s="10"/>
      <c r="L31" s="10">
        <v>35319</v>
      </c>
      <c r="M31" s="10">
        <v>120661</v>
      </c>
      <c r="N31" s="10"/>
      <c r="O31" s="10"/>
      <c r="P31" s="127">
        <v>2234.5</v>
      </c>
      <c r="Q31" s="127">
        <v>7296.21</v>
      </c>
      <c r="R31" s="10">
        <v>21344.07</v>
      </c>
      <c r="S31" s="10">
        <v>76840.350000000006</v>
      </c>
      <c r="T31" s="10">
        <v>18928</v>
      </c>
      <c r="U31" s="10">
        <v>53668</v>
      </c>
      <c r="V31" s="10">
        <v>44924</v>
      </c>
      <c r="W31" s="10">
        <v>112023</v>
      </c>
      <c r="X31" s="10">
        <v>95808</v>
      </c>
      <c r="Y31" s="10">
        <v>378002</v>
      </c>
      <c r="Z31" s="10">
        <v>58674</v>
      </c>
      <c r="AA31" s="10">
        <v>188099</v>
      </c>
      <c r="AB31" s="10">
        <v>4057</v>
      </c>
      <c r="AC31" s="10">
        <v>12637</v>
      </c>
      <c r="AD31" s="10">
        <v>11168</v>
      </c>
      <c r="AE31" s="10">
        <v>40129</v>
      </c>
      <c r="AF31" s="10">
        <v>6499</v>
      </c>
      <c r="AG31" s="10">
        <v>19440</v>
      </c>
      <c r="AH31" s="10"/>
      <c r="AI31" s="10"/>
      <c r="AJ31" s="10"/>
      <c r="AK31" s="10"/>
      <c r="AL31" s="10">
        <v>113398.15</v>
      </c>
      <c r="AM31" s="10">
        <v>342289.97</v>
      </c>
      <c r="AN31" s="10">
        <v>567</v>
      </c>
      <c r="AO31" s="10">
        <v>1757</v>
      </c>
      <c r="AP31" s="10">
        <v>4941</v>
      </c>
      <c r="AQ31" s="10">
        <v>15041</v>
      </c>
      <c r="AR31" s="10">
        <v>36578</v>
      </c>
      <c r="AS31" s="10">
        <v>122350</v>
      </c>
      <c r="AT31" s="10">
        <v>34485</v>
      </c>
      <c r="AU31" s="10">
        <v>100108</v>
      </c>
      <c r="AV31" s="10">
        <v>20015</v>
      </c>
      <c r="AW31" s="10">
        <v>65687</v>
      </c>
      <c r="AX31" s="10">
        <v>33637</v>
      </c>
      <c r="AY31" s="10">
        <v>101982</v>
      </c>
      <c r="AZ31" s="10"/>
      <c r="BA31" s="10"/>
      <c r="BB31" s="10">
        <v>54498</v>
      </c>
      <c r="BC31" s="10">
        <v>164216</v>
      </c>
      <c r="BD31" s="10">
        <v>210609</v>
      </c>
      <c r="BE31" s="10">
        <v>655232</v>
      </c>
      <c r="BF31" s="10">
        <v>81011</v>
      </c>
      <c r="BG31" s="10">
        <v>229378</v>
      </c>
      <c r="BH31" s="10">
        <v>118163</v>
      </c>
      <c r="BI31" s="10">
        <v>339909</v>
      </c>
      <c r="BJ31" s="10">
        <v>12623</v>
      </c>
      <c r="BK31" s="10">
        <v>42307</v>
      </c>
      <c r="BL31" s="63">
        <f t="shared" si="4"/>
        <v>1087347.72</v>
      </c>
      <c r="BM31" s="63">
        <f t="shared" si="5"/>
        <v>3404354.5300000003</v>
      </c>
    </row>
    <row r="32" spans="1:65" x14ac:dyDescent="0.25">
      <c r="A32" s="20" t="s">
        <v>284</v>
      </c>
      <c r="B32" s="91">
        <v>16055</v>
      </c>
      <c r="C32" s="91">
        <v>16055</v>
      </c>
      <c r="D32" s="76"/>
      <c r="E32" s="76"/>
      <c r="F32" s="76"/>
      <c r="G32" s="76"/>
      <c r="H32" s="91">
        <v>965442</v>
      </c>
      <c r="I32" s="91">
        <v>965442</v>
      </c>
      <c r="J32" s="76"/>
      <c r="K32" s="76"/>
      <c r="L32" s="91">
        <v>681332</v>
      </c>
      <c r="M32" s="91">
        <v>681332</v>
      </c>
      <c r="N32" s="76"/>
      <c r="O32" s="76"/>
      <c r="P32" s="90">
        <v>11126.98</v>
      </c>
      <c r="Q32" s="90">
        <v>11126.98</v>
      </c>
      <c r="R32" s="91">
        <v>224741.44</v>
      </c>
      <c r="S32" s="91">
        <v>224741.44</v>
      </c>
      <c r="T32" s="91">
        <v>366245</v>
      </c>
      <c r="U32" s="91">
        <v>366245</v>
      </c>
      <c r="V32" s="91">
        <v>511528</v>
      </c>
      <c r="W32" s="91">
        <v>511528</v>
      </c>
      <c r="X32" s="91">
        <v>1545246</v>
      </c>
      <c r="Y32" s="91">
        <v>1545246</v>
      </c>
      <c r="Z32" s="91">
        <v>15954</v>
      </c>
      <c r="AA32" s="91">
        <v>650211</v>
      </c>
      <c r="AB32" s="91">
        <v>42618</v>
      </c>
      <c r="AC32" s="91">
        <v>42618</v>
      </c>
      <c r="AD32" s="91">
        <v>119502</v>
      </c>
      <c r="AE32" s="91">
        <v>119502</v>
      </c>
      <c r="AF32" s="91">
        <v>191497</v>
      </c>
      <c r="AG32" s="91">
        <v>191497</v>
      </c>
      <c r="AH32" s="76"/>
      <c r="AI32" s="76"/>
      <c r="AJ32" s="76"/>
      <c r="AK32" s="76"/>
      <c r="AL32" s="91">
        <v>1581208.33</v>
      </c>
      <c r="AM32" s="91">
        <v>1581208.33</v>
      </c>
      <c r="AN32" s="91">
        <v>11799</v>
      </c>
      <c r="AO32" s="91">
        <v>11799</v>
      </c>
      <c r="AP32" s="91">
        <v>31581</v>
      </c>
      <c r="AQ32" s="91">
        <v>31581</v>
      </c>
      <c r="AR32" s="76">
        <v>623579</v>
      </c>
      <c r="AS32" s="76">
        <v>623579</v>
      </c>
      <c r="AT32" s="91">
        <v>424144</v>
      </c>
      <c r="AU32" s="91">
        <v>424144</v>
      </c>
      <c r="AV32" s="91">
        <v>260515</v>
      </c>
      <c r="AW32" s="91">
        <v>260515</v>
      </c>
      <c r="AX32" s="91">
        <v>-9892</v>
      </c>
      <c r="AY32" s="91">
        <v>747485</v>
      </c>
      <c r="AZ32" s="76"/>
      <c r="BA32" s="76"/>
      <c r="BB32" s="91">
        <v>725960</v>
      </c>
      <c r="BC32" s="91">
        <v>725960</v>
      </c>
      <c r="BD32" s="91">
        <v>2257575</v>
      </c>
      <c r="BE32" s="91">
        <v>2257575</v>
      </c>
      <c r="BF32" s="91">
        <v>12489</v>
      </c>
      <c r="BG32" s="91">
        <v>1263560</v>
      </c>
      <c r="BH32" s="91">
        <v>2004734</v>
      </c>
      <c r="BI32" s="91">
        <v>2004734</v>
      </c>
      <c r="BJ32" s="91">
        <v>12589</v>
      </c>
      <c r="BK32" s="91">
        <v>146529</v>
      </c>
      <c r="BL32" s="68">
        <f t="shared" si="4"/>
        <v>12627568.75</v>
      </c>
      <c r="BM32" s="68">
        <f t="shared" si="5"/>
        <v>15404213.75</v>
      </c>
    </row>
    <row r="33" spans="1:65" ht="15" customHeight="1" x14ac:dyDescent="0.25">
      <c r="A33" s="20" t="s">
        <v>285</v>
      </c>
      <c r="B33" s="91">
        <v>14463</v>
      </c>
      <c r="C33" s="91">
        <v>9832</v>
      </c>
      <c r="D33" s="76"/>
      <c r="E33" s="76"/>
      <c r="F33" s="76"/>
      <c r="G33" s="76"/>
      <c r="H33" s="91">
        <v>958920</v>
      </c>
      <c r="I33" s="91">
        <v>872027</v>
      </c>
      <c r="J33" s="76"/>
      <c r="K33" s="76"/>
      <c r="L33" s="91">
        <v>667828</v>
      </c>
      <c r="M33" s="91">
        <v>626308</v>
      </c>
      <c r="N33" s="76"/>
      <c r="O33" s="76"/>
      <c r="P33" s="90">
        <v>10465.209999999999</v>
      </c>
      <c r="Q33" s="90">
        <v>7584.63</v>
      </c>
      <c r="R33" s="91">
        <v>223117.78</v>
      </c>
      <c r="S33" s="91">
        <v>214189.24</v>
      </c>
      <c r="T33" s="91">
        <v>325305</v>
      </c>
      <c r="U33" s="91">
        <v>204440</v>
      </c>
      <c r="V33" s="91">
        <v>-504665</v>
      </c>
      <c r="W33" s="91">
        <v>-432530</v>
      </c>
      <c r="X33" s="91">
        <v>1495256</v>
      </c>
      <c r="Y33" s="91">
        <v>1131942</v>
      </c>
      <c r="Z33" s="91"/>
      <c r="AA33" s="91">
        <v>560905</v>
      </c>
      <c r="AB33" s="91">
        <v>39949</v>
      </c>
      <c r="AC33" s="91">
        <v>31847</v>
      </c>
      <c r="AD33" s="91">
        <v>114896</v>
      </c>
      <c r="AE33" s="91">
        <v>101377</v>
      </c>
      <c r="AF33" s="91">
        <v>-182881</v>
      </c>
      <c r="AG33" s="91">
        <v>-155856</v>
      </c>
      <c r="AH33" s="76"/>
      <c r="AI33" s="76"/>
      <c r="AJ33" s="76"/>
      <c r="AK33" s="76"/>
      <c r="AL33" s="91">
        <v>1585581.38</v>
      </c>
      <c r="AM33" s="91">
        <v>1518803</v>
      </c>
      <c r="AN33" s="91">
        <v>-10564</v>
      </c>
      <c r="AO33" s="91">
        <v>-9117</v>
      </c>
      <c r="AP33" s="91">
        <v>30942</v>
      </c>
      <c r="AQ33" s="91">
        <v>25647</v>
      </c>
      <c r="AR33" s="76">
        <v>602234</v>
      </c>
      <c r="AS33" s="76">
        <v>538373</v>
      </c>
      <c r="AT33" s="91">
        <v>424611</v>
      </c>
      <c r="AU33" s="91">
        <v>377494</v>
      </c>
      <c r="AV33" s="91">
        <v>244924</v>
      </c>
      <c r="AW33" s="91">
        <v>200276</v>
      </c>
      <c r="AX33" s="91"/>
      <c r="AY33" s="91">
        <v>722966</v>
      </c>
      <c r="AZ33" s="76"/>
      <c r="BA33" s="76"/>
      <c r="BB33" s="91">
        <v>699780</v>
      </c>
      <c r="BC33" s="91">
        <v>572329</v>
      </c>
      <c r="BD33" s="91">
        <v>2240372</v>
      </c>
      <c r="BE33" s="91">
        <v>2062177</v>
      </c>
      <c r="BF33" s="91">
        <v>0</v>
      </c>
      <c r="BG33" s="91">
        <v>1158080</v>
      </c>
      <c r="BH33" s="91">
        <v>1815180</v>
      </c>
      <c r="BI33" s="91">
        <v>1815180</v>
      </c>
      <c r="BJ33" s="91"/>
      <c r="BK33" s="91">
        <v>126954</v>
      </c>
      <c r="BL33" s="68">
        <f t="shared" si="4"/>
        <v>10795714.370000001</v>
      </c>
      <c r="BM33" s="68">
        <f t="shared" si="5"/>
        <v>12281227.870000001</v>
      </c>
    </row>
    <row r="34" spans="1:65" s="7" customFormat="1" x14ac:dyDescent="0.25">
      <c r="A34" s="3" t="s">
        <v>286</v>
      </c>
      <c r="B34" s="10">
        <v>3710</v>
      </c>
      <c r="C34" s="10">
        <v>11642</v>
      </c>
      <c r="D34" s="10"/>
      <c r="E34" s="10"/>
      <c r="F34" s="10"/>
      <c r="G34" s="10"/>
      <c r="H34" s="10">
        <v>72271</v>
      </c>
      <c r="I34" s="10">
        <v>303298</v>
      </c>
      <c r="J34" s="10"/>
      <c r="K34" s="10"/>
      <c r="L34" s="10">
        <v>48822</v>
      </c>
      <c r="M34" s="10">
        <v>175684</v>
      </c>
      <c r="N34" s="10"/>
      <c r="O34" s="10"/>
      <c r="P34" s="127">
        <v>2896.27</v>
      </c>
      <c r="Q34" s="127">
        <v>10838.56</v>
      </c>
      <c r="R34" s="10">
        <v>22967.73</v>
      </c>
      <c r="S34" s="10">
        <v>87392.55</v>
      </c>
      <c r="T34" s="10">
        <v>59868</v>
      </c>
      <c r="U34" s="10">
        <v>215473</v>
      </c>
      <c r="V34" s="10">
        <v>51787</v>
      </c>
      <c r="W34" s="10">
        <v>191020</v>
      </c>
      <c r="X34" s="10">
        <v>145798</v>
      </c>
      <c r="Y34" s="10">
        <v>556649</v>
      </c>
      <c r="Z34" s="10">
        <v>74628</v>
      </c>
      <c r="AA34" s="10">
        <v>277405</v>
      </c>
      <c r="AB34" s="10">
        <v>6725</v>
      </c>
      <c r="AC34" s="10">
        <v>23407</v>
      </c>
      <c r="AD34" s="10">
        <v>15774</v>
      </c>
      <c r="AE34" s="10">
        <v>58253</v>
      </c>
      <c r="AF34" s="10">
        <v>15114</v>
      </c>
      <c r="AG34" s="10">
        <v>55080</v>
      </c>
      <c r="AH34" s="10"/>
      <c r="AI34" s="10"/>
      <c r="AJ34" s="10"/>
      <c r="AK34" s="10"/>
      <c r="AL34" s="10">
        <v>109025.11</v>
      </c>
      <c r="AM34" s="10">
        <v>404695.3</v>
      </c>
      <c r="AN34" s="10">
        <v>1801</v>
      </c>
      <c r="AO34" s="10">
        <v>4438</v>
      </c>
      <c r="AP34" s="10">
        <v>5580</v>
      </c>
      <c r="AQ34" s="10">
        <v>20975</v>
      </c>
      <c r="AR34" s="10">
        <v>57923</v>
      </c>
      <c r="AS34" s="10">
        <v>207556</v>
      </c>
      <c r="AT34" s="10">
        <v>34018</v>
      </c>
      <c r="AU34" s="10">
        <v>146758</v>
      </c>
      <c r="AV34" s="10">
        <v>35606</v>
      </c>
      <c r="AW34" s="10">
        <v>125927</v>
      </c>
      <c r="AX34" s="10">
        <v>23746</v>
      </c>
      <c r="AY34" s="10">
        <v>126501</v>
      </c>
      <c r="AZ34" s="10"/>
      <c r="BA34" s="10"/>
      <c r="BB34" s="10">
        <v>80679</v>
      </c>
      <c r="BC34" s="10">
        <v>317847</v>
      </c>
      <c r="BD34" s="10">
        <v>227812</v>
      </c>
      <c r="BE34" s="10">
        <v>850631</v>
      </c>
      <c r="BF34" s="10">
        <v>93500</v>
      </c>
      <c r="BG34" s="10">
        <v>334858</v>
      </c>
      <c r="BH34" s="10">
        <v>307717</v>
      </c>
      <c r="BI34" s="10">
        <v>529463</v>
      </c>
      <c r="BJ34" s="10">
        <v>25213</v>
      </c>
      <c r="BK34" s="10">
        <v>61882</v>
      </c>
      <c r="BL34" s="63">
        <f t="shared" si="4"/>
        <v>1522981.1099999999</v>
      </c>
      <c r="BM34" s="63">
        <f t="shared" si="5"/>
        <v>5097673.41</v>
      </c>
    </row>
    <row r="35" spans="1:65" x14ac:dyDescent="0.25">
      <c r="A35" s="13"/>
    </row>
    <row r="36" spans="1:65" x14ac:dyDescent="0.25">
      <c r="A36" s="27" t="s">
        <v>185</v>
      </c>
    </row>
    <row r="37" spans="1:65" x14ac:dyDescent="0.25">
      <c r="A37" s="3" t="s">
        <v>0</v>
      </c>
      <c r="B37" s="154" t="s">
        <v>1</v>
      </c>
      <c r="C37" s="155"/>
      <c r="D37" s="154" t="s">
        <v>234</v>
      </c>
      <c r="E37" s="155"/>
      <c r="F37" s="154" t="s">
        <v>2</v>
      </c>
      <c r="G37" s="155"/>
      <c r="H37" s="154" t="s">
        <v>3</v>
      </c>
      <c r="I37" s="155"/>
      <c r="J37" s="154" t="s">
        <v>243</v>
      </c>
      <c r="K37" s="155"/>
      <c r="L37" s="154" t="s">
        <v>235</v>
      </c>
      <c r="M37" s="155"/>
      <c r="N37" s="154" t="s">
        <v>5</v>
      </c>
      <c r="O37" s="155"/>
      <c r="P37" s="154" t="s">
        <v>4</v>
      </c>
      <c r="Q37" s="155"/>
      <c r="R37" s="154" t="s">
        <v>6</v>
      </c>
      <c r="S37" s="155"/>
      <c r="T37" s="154" t="s">
        <v>246</v>
      </c>
      <c r="U37" s="155"/>
      <c r="V37" s="154" t="s">
        <v>7</v>
      </c>
      <c r="W37" s="155"/>
      <c r="X37" s="154" t="s">
        <v>8</v>
      </c>
      <c r="Y37" s="155"/>
      <c r="Z37" s="154" t="s">
        <v>9</v>
      </c>
      <c r="AA37" s="155"/>
      <c r="AB37" s="154" t="s">
        <v>242</v>
      </c>
      <c r="AC37" s="155"/>
      <c r="AD37" s="154" t="s">
        <v>10</v>
      </c>
      <c r="AE37" s="155"/>
      <c r="AF37" s="154" t="s">
        <v>11</v>
      </c>
      <c r="AG37" s="155"/>
      <c r="AH37" s="154" t="s">
        <v>236</v>
      </c>
      <c r="AI37" s="155"/>
      <c r="AJ37" s="154" t="s">
        <v>245</v>
      </c>
      <c r="AK37" s="155"/>
      <c r="AL37" s="154" t="s">
        <v>12</v>
      </c>
      <c r="AM37" s="155"/>
      <c r="AN37" s="154" t="s">
        <v>237</v>
      </c>
      <c r="AO37" s="155"/>
      <c r="AP37" s="154" t="s">
        <v>238</v>
      </c>
      <c r="AQ37" s="155"/>
      <c r="AR37" s="154" t="s">
        <v>241</v>
      </c>
      <c r="AS37" s="155"/>
      <c r="AT37" s="154" t="s">
        <v>13</v>
      </c>
      <c r="AU37" s="155"/>
      <c r="AV37" s="154" t="s">
        <v>14</v>
      </c>
      <c r="AW37" s="155"/>
      <c r="AX37" s="154" t="s">
        <v>15</v>
      </c>
      <c r="AY37" s="155"/>
      <c r="AZ37" s="154" t="s">
        <v>16</v>
      </c>
      <c r="BA37" s="155"/>
      <c r="BB37" s="154" t="s">
        <v>17</v>
      </c>
      <c r="BC37" s="155"/>
      <c r="BD37" s="154" t="s">
        <v>239</v>
      </c>
      <c r="BE37" s="155"/>
      <c r="BF37" s="154" t="s">
        <v>240</v>
      </c>
      <c r="BG37" s="155"/>
      <c r="BH37" s="154" t="s">
        <v>18</v>
      </c>
      <c r="BI37" s="155"/>
      <c r="BJ37" s="154" t="s">
        <v>19</v>
      </c>
      <c r="BK37" s="155"/>
      <c r="BL37" s="156" t="s">
        <v>20</v>
      </c>
      <c r="BM37" s="157"/>
    </row>
    <row r="38" spans="1:65" ht="30" x14ac:dyDescent="0.25">
      <c r="A38" s="3"/>
      <c r="B38" s="53" t="s">
        <v>300</v>
      </c>
      <c r="C38" s="54" t="s">
        <v>301</v>
      </c>
      <c r="D38" s="53" t="s">
        <v>300</v>
      </c>
      <c r="E38" s="54" t="s">
        <v>301</v>
      </c>
      <c r="F38" s="53" t="s">
        <v>300</v>
      </c>
      <c r="G38" s="54" t="s">
        <v>301</v>
      </c>
      <c r="H38" s="53" t="s">
        <v>300</v>
      </c>
      <c r="I38" s="54" t="s">
        <v>301</v>
      </c>
      <c r="J38" s="53" t="s">
        <v>300</v>
      </c>
      <c r="K38" s="54" t="s">
        <v>301</v>
      </c>
      <c r="L38" s="53" t="s">
        <v>300</v>
      </c>
      <c r="M38" s="54" t="s">
        <v>301</v>
      </c>
      <c r="N38" s="53" t="s">
        <v>300</v>
      </c>
      <c r="O38" s="54" t="s">
        <v>301</v>
      </c>
      <c r="P38" s="53" t="s">
        <v>300</v>
      </c>
      <c r="Q38" s="54" t="s">
        <v>301</v>
      </c>
      <c r="R38" s="53" t="s">
        <v>300</v>
      </c>
      <c r="S38" s="54" t="s">
        <v>301</v>
      </c>
      <c r="T38" s="53" t="s">
        <v>300</v>
      </c>
      <c r="U38" s="54" t="s">
        <v>301</v>
      </c>
      <c r="V38" s="53" t="s">
        <v>300</v>
      </c>
      <c r="W38" s="54" t="s">
        <v>301</v>
      </c>
      <c r="X38" s="53" t="s">
        <v>300</v>
      </c>
      <c r="Y38" s="54" t="s">
        <v>301</v>
      </c>
      <c r="Z38" s="53" t="s">
        <v>300</v>
      </c>
      <c r="AA38" s="54" t="s">
        <v>301</v>
      </c>
      <c r="AB38" s="53" t="s">
        <v>300</v>
      </c>
      <c r="AC38" s="54" t="s">
        <v>301</v>
      </c>
      <c r="AD38" s="53" t="s">
        <v>300</v>
      </c>
      <c r="AE38" s="54" t="s">
        <v>301</v>
      </c>
      <c r="AF38" s="53" t="s">
        <v>300</v>
      </c>
      <c r="AG38" s="54" t="s">
        <v>301</v>
      </c>
      <c r="AH38" s="53" t="s">
        <v>300</v>
      </c>
      <c r="AI38" s="54" t="s">
        <v>301</v>
      </c>
      <c r="AJ38" s="53" t="s">
        <v>300</v>
      </c>
      <c r="AK38" s="54" t="s">
        <v>301</v>
      </c>
      <c r="AL38" s="53" t="s">
        <v>300</v>
      </c>
      <c r="AM38" s="54" t="s">
        <v>301</v>
      </c>
      <c r="AN38" s="53" t="s">
        <v>300</v>
      </c>
      <c r="AO38" s="54" t="s">
        <v>301</v>
      </c>
      <c r="AP38" s="53" t="s">
        <v>300</v>
      </c>
      <c r="AQ38" s="54" t="s">
        <v>301</v>
      </c>
      <c r="AR38" s="53" t="s">
        <v>300</v>
      </c>
      <c r="AS38" s="54" t="s">
        <v>301</v>
      </c>
      <c r="AT38" s="53" t="s">
        <v>300</v>
      </c>
      <c r="AU38" s="54" t="s">
        <v>301</v>
      </c>
      <c r="AV38" s="53" t="s">
        <v>300</v>
      </c>
      <c r="AW38" s="54" t="s">
        <v>301</v>
      </c>
      <c r="AX38" s="53" t="s">
        <v>300</v>
      </c>
      <c r="AY38" s="54" t="s">
        <v>301</v>
      </c>
      <c r="AZ38" s="53" t="s">
        <v>300</v>
      </c>
      <c r="BA38" s="54" t="s">
        <v>301</v>
      </c>
      <c r="BB38" s="53" t="s">
        <v>300</v>
      </c>
      <c r="BC38" s="54" t="s">
        <v>301</v>
      </c>
      <c r="BD38" s="53" t="s">
        <v>300</v>
      </c>
      <c r="BE38" s="54" t="s">
        <v>301</v>
      </c>
      <c r="BF38" s="53" t="s">
        <v>300</v>
      </c>
      <c r="BG38" s="54" t="s">
        <v>301</v>
      </c>
      <c r="BH38" s="53" t="s">
        <v>300</v>
      </c>
      <c r="BI38" s="54" t="s">
        <v>301</v>
      </c>
      <c r="BJ38" s="53" t="s">
        <v>300</v>
      </c>
      <c r="BK38" s="54" t="s">
        <v>301</v>
      </c>
      <c r="BL38" s="104" t="s">
        <v>300</v>
      </c>
      <c r="BM38" s="105" t="s">
        <v>301</v>
      </c>
    </row>
    <row r="39" spans="1:65" x14ac:dyDescent="0.25">
      <c r="A39" s="20" t="s">
        <v>280</v>
      </c>
      <c r="B39" s="76"/>
      <c r="C39" s="76"/>
      <c r="D39" s="76"/>
      <c r="E39" s="76"/>
      <c r="F39" s="76"/>
      <c r="G39" s="76"/>
      <c r="H39" s="91">
        <v>1075</v>
      </c>
      <c r="I39" s="91">
        <v>4686</v>
      </c>
      <c r="J39" s="76"/>
      <c r="K39" s="76"/>
      <c r="L39" s="91">
        <v>322</v>
      </c>
      <c r="M39" s="91">
        <v>1226</v>
      </c>
      <c r="N39" s="76"/>
      <c r="O39" s="76"/>
      <c r="P39" s="90">
        <v>61.81</v>
      </c>
      <c r="Q39" s="90">
        <v>153.55000000000001</v>
      </c>
      <c r="R39" s="91">
        <v>301.93</v>
      </c>
      <c r="S39" s="91">
        <v>1669.38</v>
      </c>
      <c r="T39" s="91">
        <v>39</v>
      </c>
      <c r="U39" s="91">
        <v>257</v>
      </c>
      <c r="V39" s="91">
        <v>2953</v>
      </c>
      <c r="W39" s="91">
        <v>7393</v>
      </c>
      <c r="X39" s="91">
        <v>5939</v>
      </c>
      <c r="Y39" s="91">
        <v>17715</v>
      </c>
      <c r="Z39" s="91">
        <v>1067</v>
      </c>
      <c r="AA39" s="91">
        <v>3682</v>
      </c>
      <c r="AB39" s="91">
        <v>84</v>
      </c>
      <c r="AC39" s="91">
        <v>101</v>
      </c>
      <c r="AD39" s="91">
        <v>281</v>
      </c>
      <c r="AE39" s="91">
        <v>1487</v>
      </c>
      <c r="AF39" s="91">
        <v>1</v>
      </c>
      <c r="AG39" s="91">
        <v>63</v>
      </c>
      <c r="AH39" s="76"/>
      <c r="AI39" s="76"/>
      <c r="AJ39" s="76"/>
      <c r="AK39" s="76"/>
      <c r="AL39" s="91">
        <v>2226.77</v>
      </c>
      <c r="AM39" s="91">
        <v>9150.27</v>
      </c>
      <c r="AN39" s="76"/>
      <c r="AO39" s="76"/>
      <c r="AP39" s="91">
        <v>9</v>
      </c>
      <c r="AQ39" s="91">
        <v>16</v>
      </c>
      <c r="AR39" s="76">
        <v>727</v>
      </c>
      <c r="AS39" s="76">
        <v>3565</v>
      </c>
      <c r="AT39" s="91">
        <v>665</v>
      </c>
      <c r="AU39" s="91">
        <v>2166</v>
      </c>
      <c r="AV39" s="91">
        <v>412</v>
      </c>
      <c r="AW39" s="91">
        <v>1544</v>
      </c>
      <c r="AX39" s="91">
        <v>365</v>
      </c>
      <c r="AY39" s="91">
        <v>951</v>
      </c>
      <c r="AZ39" s="76"/>
      <c r="BA39" s="76"/>
      <c r="BB39" s="91">
        <v>1702</v>
      </c>
      <c r="BC39" s="91">
        <v>5288</v>
      </c>
      <c r="BD39" s="91">
        <v>18259</v>
      </c>
      <c r="BE39" s="91">
        <v>36707</v>
      </c>
      <c r="BF39" s="91">
        <v>3105</v>
      </c>
      <c r="BG39" s="91">
        <v>8279</v>
      </c>
      <c r="BH39" s="91">
        <v>3912</v>
      </c>
      <c r="BI39" s="91">
        <v>3912</v>
      </c>
      <c r="BJ39" s="91">
        <v>130</v>
      </c>
      <c r="BK39" s="91">
        <v>498</v>
      </c>
      <c r="BL39" s="68">
        <f t="shared" ref="BL39:BL45" si="6">SUM(B39+D39+F39+H39+J39+L39+N39+P39+R39+T39+V39+X39+Z39+AB39+AD39+AF39+AH39+AJ39+AL39+AN39+AP39+AR39+AT39+AV39+AX39+AZ39+BB39+BD39+BF39+BH39+BJ39)</f>
        <v>43637.51</v>
      </c>
      <c r="BM39" s="68">
        <f t="shared" ref="BM39:BM45" si="7">SUM(C39+E39+G39+I39+K39+M39+O39+Q39+S39+U39+W39+Y39+AA39+AC39+AE39+AG39+AI39+AK39+AM39+AO39+AQ39+AS39+AU39+AW39+AY39+BA39+BC39+BE39+BG39+BI39+BK39)</f>
        <v>110509.2</v>
      </c>
    </row>
    <row r="40" spans="1:65" x14ac:dyDescent="0.25">
      <c r="A40" s="20" t="s">
        <v>281</v>
      </c>
      <c r="B40" s="76"/>
      <c r="C40" s="76"/>
      <c r="D40" s="76"/>
      <c r="E40" s="76"/>
      <c r="F40" s="76"/>
      <c r="G40" s="76"/>
      <c r="H40" s="91">
        <v>6</v>
      </c>
      <c r="I40" s="91">
        <v>18</v>
      </c>
      <c r="J40" s="76"/>
      <c r="K40" s="76"/>
      <c r="L40" s="91">
        <v>2</v>
      </c>
      <c r="M40" s="91">
        <v>3</v>
      </c>
      <c r="N40" s="76"/>
      <c r="O40" s="76"/>
      <c r="P40" s="90">
        <v>0.52</v>
      </c>
      <c r="Q40" s="90">
        <v>1.06</v>
      </c>
      <c r="R40" s="91">
        <v>1.46</v>
      </c>
      <c r="S40" s="91">
        <v>147.88</v>
      </c>
      <c r="T40" s="91">
        <v>2</v>
      </c>
      <c r="U40" s="91">
        <v>9</v>
      </c>
      <c r="V40" s="91">
        <v>14</v>
      </c>
      <c r="W40" s="91">
        <v>164</v>
      </c>
      <c r="X40" s="91">
        <v>10</v>
      </c>
      <c r="Y40" s="91">
        <v>101</v>
      </c>
      <c r="Z40" s="91">
        <v>8</v>
      </c>
      <c r="AA40" s="91">
        <v>83</v>
      </c>
      <c r="AB40" s="91">
        <v>0.52</v>
      </c>
      <c r="AC40" s="91">
        <v>1</v>
      </c>
      <c r="AD40" s="91">
        <v>1</v>
      </c>
      <c r="AE40" s="91">
        <v>2</v>
      </c>
      <c r="AF40" s="91">
        <v>1</v>
      </c>
      <c r="AG40" s="91">
        <v>4</v>
      </c>
      <c r="AH40" s="76"/>
      <c r="AI40" s="76"/>
      <c r="AJ40" s="76"/>
      <c r="AK40" s="76"/>
      <c r="AL40" s="91">
        <v>900.55</v>
      </c>
      <c r="AM40" s="91">
        <v>1287.18</v>
      </c>
      <c r="AN40" s="76"/>
      <c r="AO40" s="76"/>
      <c r="AP40" s="91">
        <v>12</v>
      </c>
      <c r="AQ40" s="91">
        <v>51</v>
      </c>
      <c r="AR40" s="76">
        <v>7</v>
      </c>
      <c r="AS40" s="76">
        <v>54</v>
      </c>
      <c r="AT40" s="91">
        <v>12</v>
      </c>
      <c r="AU40" s="91">
        <v>236</v>
      </c>
      <c r="AV40" s="91">
        <v>1</v>
      </c>
      <c r="AW40" s="91">
        <v>2</v>
      </c>
      <c r="AX40" s="91">
        <v>1</v>
      </c>
      <c r="AY40" s="91">
        <v>2</v>
      </c>
      <c r="AZ40" s="76"/>
      <c r="BA40" s="76"/>
      <c r="BB40" s="91">
        <v>10</v>
      </c>
      <c r="BC40" s="91">
        <v>13</v>
      </c>
      <c r="BD40" s="91">
        <v>261</v>
      </c>
      <c r="BE40" s="91">
        <v>8246</v>
      </c>
      <c r="BF40" s="91">
        <v>426</v>
      </c>
      <c r="BG40" s="91">
        <v>3409</v>
      </c>
      <c r="BH40" s="91">
        <v>166</v>
      </c>
      <c r="BI40" s="91">
        <v>166</v>
      </c>
      <c r="BJ40" s="91">
        <v>1</v>
      </c>
      <c r="BK40" s="91">
        <v>1</v>
      </c>
      <c r="BL40" s="68">
        <f t="shared" si="6"/>
        <v>1844.05</v>
      </c>
      <c r="BM40" s="68">
        <f t="shared" si="7"/>
        <v>14001.119999999999</v>
      </c>
    </row>
    <row r="41" spans="1:65" x14ac:dyDescent="0.25">
      <c r="A41" s="20" t="s">
        <v>282</v>
      </c>
      <c r="B41" s="76"/>
      <c r="C41" s="76"/>
      <c r="D41" s="76"/>
      <c r="E41" s="76"/>
      <c r="F41" s="76"/>
      <c r="G41" s="76"/>
      <c r="H41" s="91">
        <v>-1034</v>
      </c>
      <c r="I41" s="91">
        <v>-3991</v>
      </c>
      <c r="J41" s="76"/>
      <c r="K41" s="76"/>
      <c r="L41" s="91">
        <v>118</v>
      </c>
      <c r="M41" s="91">
        <v>658</v>
      </c>
      <c r="N41" s="76"/>
      <c r="O41" s="76"/>
      <c r="P41" s="90">
        <v>48.23</v>
      </c>
      <c r="Q41" s="90">
        <v>127.77</v>
      </c>
      <c r="R41" s="91">
        <v>261.76</v>
      </c>
      <c r="S41" s="91">
        <v>1520.78</v>
      </c>
      <c r="T41" s="91">
        <v>35</v>
      </c>
      <c r="U41" s="91">
        <v>221</v>
      </c>
      <c r="V41" s="91">
        <v>-1885</v>
      </c>
      <c r="W41" s="91">
        <v>-4286</v>
      </c>
      <c r="X41" s="91">
        <v>4299</v>
      </c>
      <c r="Y41" s="91">
        <v>11434</v>
      </c>
      <c r="Z41" s="91">
        <v>770</v>
      </c>
      <c r="AA41" s="91">
        <v>2735</v>
      </c>
      <c r="AB41" s="91">
        <v>78</v>
      </c>
      <c r="AC41" s="91">
        <v>93</v>
      </c>
      <c r="AD41" s="91">
        <v>198</v>
      </c>
      <c r="AE41" s="91">
        <v>972</v>
      </c>
      <c r="AF41" s="91">
        <v>0</v>
      </c>
      <c r="AG41" s="91">
        <v>-57</v>
      </c>
      <c r="AH41" s="76"/>
      <c r="AI41" s="76"/>
      <c r="AJ41" s="76"/>
      <c r="AK41" s="76"/>
      <c r="AL41" s="91">
        <v>262.86</v>
      </c>
      <c r="AM41" s="91">
        <v>3466.23</v>
      </c>
      <c r="AN41" s="76"/>
      <c r="AO41" s="76"/>
      <c r="AP41" s="91">
        <v>16</v>
      </c>
      <c r="AQ41" s="91">
        <v>51</v>
      </c>
      <c r="AR41" s="76">
        <v>407</v>
      </c>
      <c r="AS41" s="76">
        <v>2117</v>
      </c>
      <c r="AT41" s="91">
        <v>543</v>
      </c>
      <c r="AU41" s="91">
        <v>1962</v>
      </c>
      <c r="AV41" s="91">
        <v>165</v>
      </c>
      <c r="AW41" s="91">
        <v>651</v>
      </c>
      <c r="AX41" s="91">
        <v>258</v>
      </c>
      <c r="AY41" s="91">
        <v>356</v>
      </c>
      <c r="AZ41" s="76"/>
      <c r="BA41" s="76"/>
      <c r="BB41" s="91">
        <v>1492</v>
      </c>
      <c r="BC41" s="91">
        <v>4715</v>
      </c>
      <c r="BD41" s="91">
        <v>10529</v>
      </c>
      <c r="BE41" s="91">
        <v>17546</v>
      </c>
      <c r="BF41" s="91">
        <v>746</v>
      </c>
      <c r="BG41" s="91">
        <v>1992</v>
      </c>
      <c r="BH41" s="91">
        <v>947</v>
      </c>
      <c r="BI41" s="91">
        <v>947</v>
      </c>
      <c r="BJ41" s="91">
        <v>108</v>
      </c>
      <c r="BK41" s="91">
        <v>418</v>
      </c>
      <c r="BL41" s="68">
        <f t="shared" si="6"/>
        <v>18362.849999999999</v>
      </c>
      <c r="BM41" s="68">
        <f t="shared" si="7"/>
        <v>43648.78</v>
      </c>
    </row>
    <row r="42" spans="1:65" s="7" customFormat="1" x14ac:dyDescent="0.25">
      <c r="A42" s="3" t="s">
        <v>283</v>
      </c>
      <c r="B42" s="10"/>
      <c r="C42" s="10"/>
      <c r="D42" s="10"/>
      <c r="E42" s="10"/>
      <c r="F42" s="10"/>
      <c r="G42" s="10"/>
      <c r="H42" s="10">
        <v>48</v>
      </c>
      <c r="I42" s="10">
        <v>713</v>
      </c>
      <c r="J42" s="10"/>
      <c r="K42" s="10"/>
      <c r="L42" s="10">
        <v>206</v>
      </c>
      <c r="M42" s="10">
        <v>572</v>
      </c>
      <c r="N42" s="10"/>
      <c r="O42" s="10"/>
      <c r="P42" s="127">
        <v>14.1</v>
      </c>
      <c r="Q42" s="127">
        <v>26.84</v>
      </c>
      <c r="R42" s="10">
        <v>41.63</v>
      </c>
      <c r="S42" s="10">
        <v>296.48</v>
      </c>
      <c r="T42" s="10">
        <v>6</v>
      </c>
      <c r="U42" s="10">
        <v>45</v>
      </c>
      <c r="V42" s="10">
        <v>1082</v>
      </c>
      <c r="W42" s="10">
        <v>3272</v>
      </c>
      <c r="X42" s="10">
        <v>1650</v>
      </c>
      <c r="Y42" s="10">
        <v>6382</v>
      </c>
      <c r="Z42" s="10">
        <v>305</v>
      </c>
      <c r="AA42" s="10">
        <v>1030</v>
      </c>
      <c r="AB42" s="10">
        <v>7</v>
      </c>
      <c r="AC42" s="10">
        <v>9</v>
      </c>
      <c r="AD42" s="10">
        <v>83</v>
      </c>
      <c r="AE42" s="10">
        <v>517</v>
      </c>
      <c r="AF42" s="10">
        <v>2</v>
      </c>
      <c r="AG42" s="10">
        <v>10</v>
      </c>
      <c r="AH42" s="10"/>
      <c r="AI42" s="10"/>
      <c r="AJ42" s="10"/>
      <c r="AK42" s="10"/>
      <c r="AL42" s="10">
        <v>2864.46</v>
      </c>
      <c r="AM42" s="10">
        <v>6971.21</v>
      </c>
      <c r="AN42" s="10"/>
      <c r="AO42" s="10"/>
      <c r="AP42" s="10">
        <v>5</v>
      </c>
      <c r="AQ42" s="10">
        <v>17</v>
      </c>
      <c r="AR42" s="10">
        <v>327</v>
      </c>
      <c r="AS42" s="10">
        <v>1502</v>
      </c>
      <c r="AT42" s="10">
        <v>134</v>
      </c>
      <c r="AU42" s="10">
        <v>440</v>
      </c>
      <c r="AV42" s="10">
        <v>248</v>
      </c>
      <c r="AW42" s="10">
        <v>895</v>
      </c>
      <c r="AX42" s="10">
        <v>108</v>
      </c>
      <c r="AY42" s="10">
        <v>597</v>
      </c>
      <c r="AZ42" s="10"/>
      <c r="BA42" s="10"/>
      <c r="BB42" s="10">
        <v>220</v>
      </c>
      <c r="BC42" s="10">
        <v>587</v>
      </c>
      <c r="BD42" s="10">
        <v>7991</v>
      </c>
      <c r="BE42" s="10">
        <v>27407</v>
      </c>
      <c r="BF42" s="10">
        <v>2786</v>
      </c>
      <c r="BG42" s="10">
        <v>9695</v>
      </c>
      <c r="BH42" s="10">
        <v>3130</v>
      </c>
      <c r="BI42" s="10">
        <v>3130</v>
      </c>
      <c r="BJ42" s="10">
        <v>22</v>
      </c>
      <c r="BK42" s="10">
        <v>80</v>
      </c>
      <c r="BL42" s="63">
        <f t="shared" si="6"/>
        <v>21280.190000000002</v>
      </c>
      <c r="BM42" s="63">
        <f t="shared" si="7"/>
        <v>64194.53</v>
      </c>
    </row>
    <row r="43" spans="1:65" x14ac:dyDescent="0.25">
      <c r="A43" s="20" t="s">
        <v>284</v>
      </c>
      <c r="B43" s="76"/>
      <c r="C43" s="76"/>
      <c r="D43" s="76"/>
      <c r="E43" s="76"/>
      <c r="F43" s="76"/>
      <c r="G43" s="76"/>
      <c r="H43" s="91">
        <v>1785</v>
      </c>
      <c r="I43" s="91">
        <v>1785</v>
      </c>
      <c r="J43" s="76"/>
      <c r="K43" s="76"/>
      <c r="L43" s="91">
        <v>612</v>
      </c>
      <c r="M43" s="91">
        <v>612</v>
      </c>
      <c r="N43" s="76"/>
      <c r="O43" s="76"/>
      <c r="P43" s="90">
        <v>134.38999999999999</v>
      </c>
      <c r="Q43" s="90">
        <v>134.38999999999999</v>
      </c>
      <c r="R43" s="91">
        <v>1306.5999999999999</v>
      </c>
      <c r="S43" s="91">
        <v>1306.5999999999999</v>
      </c>
      <c r="T43" s="91">
        <v>127</v>
      </c>
      <c r="U43" s="91">
        <v>127</v>
      </c>
      <c r="V43" s="91">
        <v>4554</v>
      </c>
      <c r="W43" s="91">
        <v>4554</v>
      </c>
      <c r="X43" s="91">
        <v>14484</v>
      </c>
      <c r="Y43" s="91">
        <v>14484</v>
      </c>
      <c r="Z43" s="91">
        <v>80</v>
      </c>
      <c r="AA43" s="91">
        <v>1653</v>
      </c>
      <c r="AB43" s="91">
        <v>27</v>
      </c>
      <c r="AC43" s="91">
        <v>27</v>
      </c>
      <c r="AD43" s="91">
        <v>584</v>
      </c>
      <c r="AE43" s="91">
        <v>584</v>
      </c>
      <c r="AF43" s="91">
        <v>224</v>
      </c>
      <c r="AG43" s="91">
        <v>224</v>
      </c>
      <c r="AH43" s="76"/>
      <c r="AI43" s="76"/>
      <c r="AJ43" s="76"/>
      <c r="AK43" s="76"/>
      <c r="AL43" s="91">
        <v>23553.31</v>
      </c>
      <c r="AM43" s="91">
        <v>23553.31</v>
      </c>
      <c r="AN43" s="76"/>
      <c r="AO43" s="91">
        <v>1</v>
      </c>
      <c r="AP43" s="91">
        <v>100</v>
      </c>
      <c r="AQ43" s="91">
        <v>100</v>
      </c>
      <c r="AR43" s="76">
        <v>3175</v>
      </c>
      <c r="AS43" s="76">
        <v>3175</v>
      </c>
      <c r="AT43" s="91">
        <v>855</v>
      </c>
      <c r="AU43" s="91">
        <v>855</v>
      </c>
      <c r="AV43" s="91">
        <v>1606</v>
      </c>
      <c r="AW43" s="91">
        <v>1606</v>
      </c>
      <c r="AX43" s="91">
        <v>108</v>
      </c>
      <c r="AY43" s="91">
        <v>1349</v>
      </c>
      <c r="AZ43" s="76"/>
      <c r="BA43" s="76"/>
      <c r="BB43" s="91">
        <v>1253</v>
      </c>
      <c r="BC43" s="91">
        <v>1253</v>
      </c>
      <c r="BD43" s="91">
        <v>68514</v>
      </c>
      <c r="BE43" s="91">
        <v>68514</v>
      </c>
      <c r="BF43" s="91">
        <v>-2837</v>
      </c>
      <c r="BG43" s="91">
        <v>39573</v>
      </c>
      <c r="BH43" s="91">
        <v>33395</v>
      </c>
      <c r="BI43" s="91">
        <v>33395</v>
      </c>
      <c r="BJ43" s="91">
        <v>-67</v>
      </c>
      <c r="BK43" s="91">
        <v>297</v>
      </c>
      <c r="BL43" s="68">
        <f t="shared" si="6"/>
        <v>153573.29999999999</v>
      </c>
      <c r="BM43" s="68">
        <f t="shared" si="7"/>
        <v>199162.3</v>
      </c>
    </row>
    <row r="44" spans="1:65" ht="15" customHeight="1" x14ac:dyDescent="0.25">
      <c r="A44" s="20" t="s">
        <v>285</v>
      </c>
      <c r="B44" s="76"/>
      <c r="C44" s="76"/>
      <c r="D44" s="76"/>
      <c r="E44" s="76"/>
      <c r="F44" s="76"/>
      <c r="G44" s="76"/>
      <c r="H44" s="91">
        <v>1853</v>
      </c>
      <c r="I44" s="91">
        <v>1096</v>
      </c>
      <c r="J44" s="76"/>
      <c r="K44" s="76"/>
      <c r="L44" s="91">
        <v>765</v>
      </c>
      <c r="M44" s="91">
        <v>819</v>
      </c>
      <c r="N44" s="76"/>
      <c r="O44" s="76"/>
      <c r="P44" s="90">
        <v>135.87</v>
      </c>
      <c r="Q44" s="90">
        <v>95.46</v>
      </c>
      <c r="R44" s="91">
        <v>1238.76</v>
      </c>
      <c r="S44" s="91">
        <v>1005.67</v>
      </c>
      <c r="T44" s="91">
        <v>72</v>
      </c>
      <c r="U44" s="91">
        <v>73</v>
      </c>
      <c r="V44" s="91">
        <v>-5731</v>
      </c>
      <c r="W44" s="91">
        <v>-6067</v>
      </c>
      <c r="X44" s="91">
        <v>13385</v>
      </c>
      <c r="Y44" s="91">
        <v>9528</v>
      </c>
      <c r="Z44" s="91"/>
      <c r="AA44" s="91">
        <v>1717</v>
      </c>
      <c r="AB44" s="91">
        <v>27</v>
      </c>
      <c r="AC44" s="91">
        <v>17</v>
      </c>
      <c r="AD44" s="91">
        <v>528</v>
      </c>
      <c r="AE44" s="91">
        <v>613</v>
      </c>
      <c r="AF44" s="91">
        <v>-227</v>
      </c>
      <c r="AG44" s="91">
        <v>-234</v>
      </c>
      <c r="AH44" s="76"/>
      <c r="AI44" s="76"/>
      <c r="AJ44" s="76"/>
      <c r="AK44" s="76"/>
      <c r="AL44" s="91">
        <v>27726.95</v>
      </c>
      <c r="AM44" s="91">
        <v>29235.87</v>
      </c>
      <c r="AN44" s="76"/>
      <c r="AO44" s="91">
        <v>-3</v>
      </c>
      <c r="AP44" s="91">
        <v>53</v>
      </c>
      <c r="AQ44" s="91">
        <v>9</v>
      </c>
      <c r="AR44" s="76">
        <v>3261</v>
      </c>
      <c r="AS44" s="76">
        <v>2829</v>
      </c>
      <c r="AT44" s="91">
        <v>951</v>
      </c>
      <c r="AU44" s="91">
        <v>923</v>
      </c>
      <c r="AV44" s="91">
        <v>1767</v>
      </c>
      <c r="AW44" s="91">
        <v>1097</v>
      </c>
      <c r="AX44" s="91"/>
      <c r="AY44" s="91">
        <v>1221</v>
      </c>
      <c r="AZ44" s="76"/>
      <c r="BA44" s="76"/>
      <c r="BB44" s="91">
        <v>1353</v>
      </c>
      <c r="BC44" s="91">
        <v>914</v>
      </c>
      <c r="BD44" s="91">
        <v>77238</v>
      </c>
      <c r="BE44" s="91">
        <v>74135</v>
      </c>
      <c r="BF44" s="91">
        <v>0</v>
      </c>
      <c r="BG44" s="91">
        <v>44756</v>
      </c>
      <c r="BH44" s="91">
        <v>43145</v>
      </c>
      <c r="BI44" s="91">
        <v>43145</v>
      </c>
      <c r="BJ44" s="91"/>
      <c r="BK44" s="91">
        <v>527</v>
      </c>
      <c r="BL44" s="68">
        <f t="shared" si="6"/>
        <v>167541.58000000002</v>
      </c>
      <c r="BM44" s="68">
        <f t="shared" si="7"/>
        <v>207452</v>
      </c>
    </row>
    <row r="45" spans="1:65" s="7" customFormat="1" x14ac:dyDescent="0.25">
      <c r="A45" s="3" t="s">
        <v>286</v>
      </c>
      <c r="B45" s="10"/>
      <c r="C45" s="10"/>
      <c r="D45" s="10"/>
      <c r="E45" s="10"/>
      <c r="F45" s="10"/>
      <c r="G45" s="10"/>
      <c r="H45" s="10">
        <v>-20</v>
      </c>
      <c r="I45" s="10">
        <v>1403</v>
      </c>
      <c r="J45" s="10"/>
      <c r="K45" s="10"/>
      <c r="L45" s="10">
        <v>53</v>
      </c>
      <c r="M45" s="10">
        <v>365</v>
      </c>
      <c r="N45" s="10"/>
      <c r="O45" s="10"/>
      <c r="P45" s="127">
        <v>12.62</v>
      </c>
      <c r="Q45" s="127">
        <v>65.77</v>
      </c>
      <c r="R45" s="10">
        <v>109.47</v>
      </c>
      <c r="S45" s="10">
        <v>597.41</v>
      </c>
      <c r="T45" s="10">
        <v>61</v>
      </c>
      <c r="U45" s="10">
        <v>99</v>
      </c>
      <c r="V45" s="10">
        <v>-95</v>
      </c>
      <c r="W45" s="10">
        <v>1758</v>
      </c>
      <c r="X45" s="10">
        <v>2749</v>
      </c>
      <c r="Y45" s="10">
        <v>10229</v>
      </c>
      <c r="Z45" s="10">
        <v>385</v>
      </c>
      <c r="AA45" s="10">
        <v>966</v>
      </c>
      <c r="AB45" s="10">
        <v>6</v>
      </c>
      <c r="AC45" s="10">
        <v>19</v>
      </c>
      <c r="AD45" s="10">
        <v>140</v>
      </c>
      <c r="AE45" s="10">
        <v>488</v>
      </c>
      <c r="AF45" s="10">
        <v>-1</v>
      </c>
      <c r="AG45" s="10">
        <v>-1</v>
      </c>
      <c r="AH45" s="10"/>
      <c r="AI45" s="10"/>
      <c r="AJ45" s="10"/>
      <c r="AK45" s="10"/>
      <c r="AL45" s="10">
        <v>-1309.18</v>
      </c>
      <c r="AM45" s="10">
        <v>1288.6500000000001</v>
      </c>
      <c r="AN45" s="10"/>
      <c r="AO45" s="10">
        <v>-2</v>
      </c>
      <c r="AP45" s="10">
        <v>52</v>
      </c>
      <c r="AQ45" s="10">
        <v>108</v>
      </c>
      <c r="AR45" s="10">
        <v>241</v>
      </c>
      <c r="AS45" s="10">
        <v>1848</v>
      </c>
      <c r="AT45" s="10">
        <v>39</v>
      </c>
      <c r="AU45" s="10">
        <v>373</v>
      </c>
      <c r="AV45" s="10">
        <v>87</v>
      </c>
      <c r="AW45" s="10">
        <v>1404</v>
      </c>
      <c r="AX45" s="10">
        <v>217</v>
      </c>
      <c r="AY45" s="10">
        <v>725</v>
      </c>
      <c r="AZ45" s="10"/>
      <c r="BA45" s="10"/>
      <c r="BB45" s="10">
        <v>119</v>
      </c>
      <c r="BC45" s="10">
        <v>926</v>
      </c>
      <c r="BD45" s="10">
        <v>-733</v>
      </c>
      <c r="BE45" s="10">
        <v>21786</v>
      </c>
      <c r="BF45" s="10">
        <v>-52</v>
      </c>
      <c r="BG45" s="10">
        <v>4513</v>
      </c>
      <c r="BH45" s="10">
        <v>-6619</v>
      </c>
      <c r="BI45" s="10">
        <v>-6619</v>
      </c>
      <c r="BJ45" s="10">
        <v>-45</v>
      </c>
      <c r="BK45" s="10">
        <v>-150</v>
      </c>
      <c r="BL45" s="63">
        <f t="shared" si="6"/>
        <v>-4603.09</v>
      </c>
      <c r="BM45" s="63">
        <f t="shared" si="7"/>
        <v>42189.83</v>
      </c>
    </row>
    <row r="46" spans="1:65" x14ac:dyDescent="0.25">
      <c r="A46" s="28"/>
    </row>
    <row r="47" spans="1:65" x14ac:dyDescent="0.25">
      <c r="A47" s="29" t="s">
        <v>186</v>
      </c>
    </row>
    <row r="48" spans="1:65" x14ac:dyDescent="0.25">
      <c r="A48" s="3" t="s">
        <v>0</v>
      </c>
      <c r="B48" s="154" t="s">
        <v>1</v>
      </c>
      <c r="C48" s="155"/>
      <c r="D48" s="154" t="s">
        <v>234</v>
      </c>
      <c r="E48" s="155"/>
      <c r="F48" s="154" t="s">
        <v>2</v>
      </c>
      <c r="G48" s="155"/>
      <c r="H48" s="154" t="s">
        <v>3</v>
      </c>
      <c r="I48" s="155"/>
      <c r="J48" s="154" t="s">
        <v>243</v>
      </c>
      <c r="K48" s="155"/>
      <c r="L48" s="154" t="s">
        <v>235</v>
      </c>
      <c r="M48" s="155"/>
      <c r="N48" s="154" t="s">
        <v>5</v>
      </c>
      <c r="O48" s="155"/>
      <c r="P48" s="154" t="s">
        <v>4</v>
      </c>
      <c r="Q48" s="155"/>
      <c r="R48" s="154" t="s">
        <v>6</v>
      </c>
      <c r="S48" s="155"/>
      <c r="T48" s="154" t="s">
        <v>246</v>
      </c>
      <c r="U48" s="155"/>
      <c r="V48" s="154" t="s">
        <v>7</v>
      </c>
      <c r="W48" s="155"/>
      <c r="X48" s="154" t="s">
        <v>8</v>
      </c>
      <c r="Y48" s="155"/>
      <c r="Z48" s="154" t="s">
        <v>9</v>
      </c>
      <c r="AA48" s="155"/>
      <c r="AB48" s="154" t="s">
        <v>242</v>
      </c>
      <c r="AC48" s="155"/>
      <c r="AD48" s="154" t="s">
        <v>10</v>
      </c>
      <c r="AE48" s="155"/>
      <c r="AF48" s="154" t="s">
        <v>11</v>
      </c>
      <c r="AG48" s="155"/>
      <c r="AH48" s="154" t="s">
        <v>236</v>
      </c>
      <c r="AI48" s="155"/>
      <c r="AJ48" s="154" t="s">
        <v>245</v>
      </c>
      <c r="AK48" s="155"/>
      <c r="AL48" s="154" t="s">
        <v>12</v>
      </c>
      <c r="AM48" s="155"/>
      <c r="AN48" s="154" t="s">
        <v>237</v>
      </c>
      <c r="AO48" s="155"/>
      <c r="AP48" s="154" t="s">
        <v>238</v>
      </c>
      <c r="AQ48" s="155"/>
      <c r="AR48" s="154" t="s">
        <v>241</v>
      </c>
      <c r="AS48" s="155"/>
      <c r="AT48" s="154" t="s">
        <v>13</v>
      </c>
      <c r="AU48" s="155"/>
      <c r="AV48" s="154" t="s">
        <v>14</v>
      </c>
      <c r="AW48" s="155"/>
      <c r="AX48" s="154" t="s">
        <v>15</v>
      </c>
      <c r="AY48" s="155"/>
      <c r="AZ48" s="154" t="s">
        <v>16</v>
      </c>
      <c r="BA48" s="155"/>
      <c r="BB48" s="154" t="s">
        <v>17</v>
      </c>
      <c r="BC48" s="155"/>
      <c r="BD48" s="154" t="s">
        <v>239</v>
      </c>
      <c r="BE48" s="155"/>
      <c r="BF48" s="154" t="s">
        <v>240</v>
      </c>
      <c r="BG48" s="155"/>
      <c r="BH48" s="154" t="s">
        <v>18</v>
      </c>
      <c r="BI48" s="155"/>
      <c r="BJ48" s="154" t="s">
        <v>19</v>
      </c>
      <c r="BK48" s="155"/>
      <c r="BL48" s="156" t="s">
        <v>20</v>
      </c>
      <c r="BM48" s="157"/>
    </row>
    <row r="49" spans="1:65" ht="30" x14ac:dyDescent="0.25">
      <c r="A49" s="3"/>
      <c r="B49" s="53" t="s">
        <v>300</v>
      </c>
      <c r="C49" s="54" t="s">
        <v>301</v>
      </c>
      <c r="D49" s="53" t="s">
        <v>300</v>
      </c>
      <c r="E49" s="54" t="s">
        <v>301</v>
      </c>
      <c r="F49" s="53" t="s">
        <v>300</v>
      </c>
      <c r="G49" s="54" t="s">
        <v>301</v>
      </c>
      <c r="H49" s="53" t="s">
        <v>300</v>
      </c>
      <c r="I49" s="54" t="s">
        <v>301</v>
      </c>
      <c r="J49" s="53" t="s">
        <v>300</v>
      </c>
      <c r="K49" s="54" t="s">
        <v>301</v>
      </c>
      <c r="L49" s="53" t="s">
        <v>300</v>
      </c>
      <c r="M49" s="54" t="s">
        <v>301</v>
      </c>
      <c r="N49" s="53" t="s">
        <v>300</v>
      </c>
      <c r="O49" s="54" t="s">
        <v>301</v>
      </c>
      <c r="P49" s="53" t="s">
        <v>300</v>
      </c>
      <c r="Q49" s="54" t="s">
        <v>301</v>
      </c>
      <c r="R49" s="53" t="s">
        <v>300</v>
      </c>
      <c r="S49" s="54" t="s">
        <v>301</v>
      </c>
      <c r="T49" s="53" t="s">
        <v>300</v>
      </c>
      <c r="U49" s="54" t="s">
        <v>301</v>
      </c>
      <c r="V49" s="53" t="s">
        <v>300</v>
      </c>
      <c r="W49" s="54" t="s">
        <v>301</v>
      </c>
      <c r="X49" s="53" t="s">
        <v>300</v>
      </c>
      <c r="Y49" s="54" t="s">
        <v>301</v>
      </c>
      <c r="Z49" s="53" t="s">
        <v>300</v>
      </c>
      <c r="AA49" s="54" t="s">
        <v>301</v>
      </c>
      <c r="AB49" s="53" t="s">
        <v>300</v>
      </c>
      <c r="AC49" s="54" t="s">
        <v>301</v>
      </c>
      <c r="AD49" s="53" t="s">
        <v>300</v>
      </c>
      <c r="AE49" s="54" t="s">
        <v>301</v>
      </c>
      <c r="AF49" s="53" t="s">
        <v>300</v>
      </c>
      <c r="AG49" s="54" t="s">
        <v>301</v>
      </c>
      <c r="AH49" s="53" t="s">
        <v>300</v>
      </c>
      <c r="AI49" s="54" t="s">
        <v>301</v>
      </c>
      <c r="AJ49" s="53" t="s">
        <v>300</v>
      </c>
      <c r="AK49" s="54" t="s">
        <v>301</v>
      </c>
      <c r="AL49" s="53" t="s">
        <v>300</v>
      </c>
      <c r="AM49" s="54" t="s">
        <v>301</v>
      </c>
      <c r="AN49" s="53" t="s">
        <v>300</v>
      </c>
      <c r="AO49" s="54" t="s">
        <v>301</v>
      </c>
      <c r="AP49" s="53" t="s">
        <v>300</v>
      </c>
      <c r="AQ49" s="54" t="s">
        <v>301</v>
      </c>
      <c r="AR49" s="53" t="s">
        <v>300</v>
      </c>
      <c r="AS49" s="54" t="s">
        <v>301</v>
      </c>
      <c r="AT49" s="53" t="s">
        <v>300</v>
      </c>
      <c r="AU49" s="54" t="s">
        <v>301</v>
      </c>
      <c r="AV49" s="53" t="s">
        <v>300</v>
      </c>
      <c r="AW49" s="54" t="s">
        <v>301</v>
      </c>
      <c r="AX49" s="53" t="s">
        <v>300</v>
      </c>
      <c r="AY49" s="54" t="s">
        <v>301</v>
      </c>
      <c r="AZ49" s="53" t="s">
        <v>300</v>
      </c>
      <c r="BA49" s="54" t="s">
        <v>301</v>
      </c>
      <c r="BB49" s="53" t="s">
        <v>300</v>
      </c>
      <c r="BC49" s="54" t="s">
        <v>301</v>
      </c>
      <c r="BD49" s="53" t="s">
        <v>300</v>
      </c>
      <c r="BE49" s="54" t="s">
        <v>301</v>
      </c>
      <c r="BF49" s="53" t="s">
        <v>300</v>
      </c>
      <c r="BG49" s="54" t="s">
        <v>301</v>
      </c>
      <c r="BH49" s="53" t="s">
        <v>300</v>
      </c>
      <c r="BI49" s="54" t="s">
        <v>301</v>
      </c>
      <c r="BJ49" s="53" t="s">
        <v>300</v>
      </c>
      <c r="BK49" s="54" t="s">
        <v>301</v>
      </c>
      <c r="BL49" s="104" t="s">
        <v>300</v>
      </c>
      <c r="BM49" s="105" t="s">
        <v>301</v>
      </c>
    </row>
    <row r="50" spans="1:65" x14ac:dyDescent="0.25">
      <c r="A50" s="20" t="s">
        <v>280</v>
      </c>
      <c r="B50" s="91">
        <v>8480</v>
      </c>
      <c r="C50" s="91">
        <v>28896</v>
      </c>
      <c r="D50" s="71">
        <v>26085</v>
      </c>
      <c r="E50" s="91">
        <v>100563</v>
      </c>
      <c r="F50" s="76"/>
      <c r="G50" s="76"/>
      <c r="H50" s="91">
        <v>75146</v>
      </c>
      <c r="I50" s="91">
        <v>266556</v>
      </c>
      <c r="J50" s="91">
        <v>41448</v>
      </c>
      <c r="K50" s="91">
        <v>201228</v>
      </c>
      <c r="L50" s="91">
        <v>11102</v>
      </c>
      <c r="M50" s="91">
        <v>63547</v>
      </c>
      <c r="N50" s="76"/>
      <c r="O50" s="76"/>
      <c r="P50" s="90">
        <v>2423.09</v>
      </c>
      <c r="Q50" s="90">
        <v>11412.06</v>
      </c>
      <c r="R50" s="91">
        <v>10983.91</v>
      </c>
      <c r="S50" s="91">
        <v>52460.49</v>
      </c>
      <c r="T50" s="91">
        <v>4825</v>
      </c>
      <c r="U50" s="91">
        <v>16627</v>
      </c>
      <c r="V50" s="91">
        <v>85812</v>
      </c>
      <c r="W50" s="91">
        <v>386979</v>
      </c>
      <c r="X50" s="91">
        <v>73228</v>
      </c>
      <c r="Y50" s="91">
        <v>312028</v>
      </c>
      <c r="Z50" s="91">
        <v>41853</v>
      </c>
      <c r="AA50" s="91">
        <v>199892</v>
      </c>
      <c r="AB50" s="91">
        <v>3086</v>
      </c>
      <c r="AC50" s="91">
        <v>12536</v>
      </c>
      <c r="AD50" s="91">
        <v>4317</v>
      </c>
      <c r="AE50" s="91">
        <v>19598</v>
      </c>
      <c r="AF50" s="91">
        <v>1682</v>
      </c>
      <c r="AG50" s="91">
        <v>6215</v>
      </c>
      <c r="AH50" s="91">
        <v>14532.41</v>
      </c>
      <c r="AI50" s="91">
        <v>64951.040000000001</v>
      </c>
      <c r="AJ50" s="91">
        <v>32279</v>
      </c>
      <c r="AK50" s="91">
        <v>133656</v>
      </c>
      <c r="AL50" s="91">
        <v>175540.35</v>
      </c>
      <c r="AM50" s="91">
        <v>682350.95</v>
      </c>
      <c r="AN50" s="91">
        <v>418</v>
      </c>
      <c r="AO50" s="91">
        <v>1031</v>
      </c>
      <c r="AP50" s="91">
        <v>135</v>
      </c>
      <c r="AQ50" s="91">
        <v>1524</v>
      </c>
      <c r="AR50" s="76">
        <v>20713</v>
      </c>
      <c r="AS50" s="76">
        <v>90857</v>
      </c>
      <c r="AT50" s="91">
        <v>9392</v>
      </c>
      <c r="AU50" s="91">
        <v>35802</v>
      </c>
      <c r="AV50" s="91">
        <v>36734</v>
      </c>
      <c r="AW50" s="91">
        <v>144440</v>
      </c>
      <c r="AX50" s="91">
        <v>4</v>
      </c>
      <c r="AY50" s="91">
        <v>4</v>
      </c>
      <c r="AZ50" s="91">
        <v>194008</v>
      </c>
      <c r="BA50" s="91">
        <v>887027</v>
      </c>
      <c r="BB50" s="91">
        <v>22718</v>
      </c>
      <c r="BC50" s="91">
        <v>88720</v>
      </c>
      <c r="BD50" s="91">
        <v>402764</v>
      </c>
      <c r="BE50" s="91">
        <v>1596896</v>
      </c>
      <c r="BF50" s="91">
        <v>225042</v>
      </c>
      <c r="BG50" s="91">
        <v>784279</v>
      </c>
      <c r="BH50" s="91">
        <v>204670</v>
      </c>
      <c r="BI50" s="91">
        <v>761580</v>
      </c>
      <c r="BJ50" s="91">
        <v>8848</v>
      </c>
      <c r="BK50" s="91">
        <v>31670</v>
      </c>
      <c r="BL50" s="68">
        <f t="shared" ref="BL50:BL56" si="8">SUM(B50+D50+F50+H50+J50+L50+N50+P50+R50+T50+V50+X50+Z50+AB50+AD50+AF50+AH50+AJ50+AL50+AN50+AP50+AR50+AT50+AV50+AX50+AZ50+BB50+BD50+BF50+BH50+BJ50)</f>
        <v>1738268.76</v>
      </c>
      <c r="BM50" s="68">
        <f t="shared" ref="BM50:BM56" si="9">SUM(C50+E50+G50+I50+K50+M50+O50+Q50+S50+U50+W50+Y50+AA50+AC50+AE50+AG50+AI50+AK50+AM50+AO50+AQ50+AS50+AU50+AW50+AY50+BA50+BC50+BE50+BG50+BI50+BK50)</f>
        <v>6983325.54</v>
      </c>
    </row>
    <row r="51" spans="1:65" x14ac:dyDescent="0.25">
      <c r="A51" s="20" t="s">
        <v>281</v>
      </c>
      <c r="B51" s="91"/>
      <c r="C51" s="91"/>
      <c r="D51" s="91"/>
      <c r="E51" s="91"/>
      <c r="F51" s="76"/>
      <c r="G51" s="76"/>
      <c r="H51" s="91"/>
      <c r="I51" s="91">
        <v>0</v>
      </c>
      <c r="J51" s="91">
        <v>1656</v>
      </c>
      <c r="K51" s="91">
        <v>2774</v>
      </c>
      <c r="L51" s="91"/>
      <c r="M51" s="91"/>
      <c r="N51" s="76"/>
      <c r="O51" s="76"/>
      <c r="P51" s="90">
        <v>55.18</v>
      </c>
      <c r="Q51" s="90">
        <v>388.5</v>
      </c>
      <c r="R51" s="91">
        <v>2.5</v>
      </c>
      <c r="S51" s="91">
        <v>2.5</v>
      </c>
      <c r="T51" s="91"/>
      <c r="U51" s="91"/>
      <c r="V51" s="91"/>
      <c r="W51" s="91"/>
      <c r="X51" s="91">
        <v>3342</v>
      </c>
      <c r="Y51" s="91">
        <v>10237</v>
      </c>
      <c r="Z51" s="91">
        <v>1913</v>
      </c>
      <c r="AA51" s="91">
        <v>1930</v>
      </c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>
        <v>11789.21</v>
      </c>
      <c r="AM51" s="91">
        <v>15569.54</v>
      </c>
      <c r="AN51" s="91"/>
      <c r="AO51" s="91"/>
      <c r="AP51" s="91"/>
      <c r="AQ51" s="91"/>
      <c r="AR51" s="76"/>
      <c r="AS51" s="76"/>
      <c r="AT51" s="91"/>
      <c r="AU51" s="91"/>
      <c r="AV51" s="91">
        <v>3449</v>
      </c>
      <c r="AW51" s="91">
        <v>6925</v>
      </c>
      <c r="AX51" s="91"/>
      <c r="AY51" s="91"/>
      <c r="AZ51" s="91"/>
      <c r="BA51" s="91"/>
      <c r="BB51" s="91">
        <v>8795</v>
      </c>
      <c r="BC51" s="91">
        <v>8795</v>
      </c>
      <c r="BD51" s="91">
        <v>2267</v>
      </c>
      <c r="BE51" s="91">
        <v>5788</v>
      </c>
      <c r="BF51" s="91">
        <v>4168</v>
      </c>
      <c r="BG51" s="91">
        <v>6757</v>
      </c>
      <c r="BH51" s="91"/>
      <c r="BI51" s="91"/>
      <c r="BJ51" s="91">
        <v>2146</v>
      </c>
      <c r="BK51" s="91">
        <v>2146</v>
      </c>
      <c r="BL51" s="68">
        <f t="shared" si="8"/>
        <v>39582.89</v>
      </c>
      <c r="BM51" s="68">
        <f t="shared" si="9"/>
        <v>61312.54</v>
      </c>
    </row>
    <row r="52" spans="1:65" x14ac:dyDescent="0.25">
      <c r="A52" s="20" t="s">
        <v>282</v>
      </c>
      <c r="B52" s="91">
        <v>424</v>
      </c>
      <c r="C52" s="91">
        <v>1445</v>
      </c>
      <c r="D52" s="91">
        <v>5535</v>
      </c>
      <c r="E52" s="91">
        <v>17679</v>
      </c>
      <c r="F52" s="76"/>
      <c r="G52" s="76"/>
      <c r="H52" s="91">
        <v>-31274</v>
      </c>
      <c r="I52" s="91">
        <v>-85640</v>
      </c>
      <c r="J52" s="91">
        <v>18307</v>
      </c>
      <c r="K52" s="91">
        <v>61735</v>
      </c>
      <c r="L52" s="91">
        <v>2706</v>
      </c>
      <c r="M52" s="91">
        <v>8776</v>
      </c>
      <c r="N52" s="76"/>
      <c r="O52" s="76"/>
      <c r="P52" s="90">
        <v>148</v>
      </c>
      <c r="Q52" s="90">
        <v>696.92</v>
      </c>
      <c r="R52" s="91">
        <v>3512.31</v>
      </c>
      <c r="S52" s="91">
        <v>16415.29</v>
      </c>
      <c r="T52" s="91">
        <v>249</v>
      </c>
      <c r="U52" s="91">
        <v>2134</v>
      </c>
      <c r="V52" s="91">
        <v>-22966</v>
      </c>
      <c r="W52" s="91">
        <v>-91072</v>
      </c>
      <c r="X52" s="91">
        <v>9747</v>
      </c>
      <c r="Y52" s="91">
        <v>39834</v>
      </c>
      <c r="Z52" s="91">
        <v>1865</v>
      </c>
      <c r="AA52" s="91">
        <v>19456</v>
      </c>
      <c r="AB52" s="91">
        <v>348</v>
      </c>
      <c r="AC52" s="91">
        <v>991</v>
      </c>
      <c r="AD52" s="91">
        <v>248</v>
      </c>
      <c r="AE52" s="91">
        <v>1080</v>
      </c>
      <c r="AF52" s="91">
        <v>-133</v>
      </c>
      <c r="AG52" s="91">
        <v>-504</v>
      </c>
      <c r="AH52" s="91">
        <v>727.53</v>
      </c>
      <c r="AI52" s="91">
        <v>3246.86</v>
      </c>
      <c r="AJ52" s="91">
        <v>6847</v>
      </c>
      <c r="AK52" s="91">
        <v>29289</v>
      </c>
      <c r="AL52" s="91">
        <v>13041.77</v>
      </c>
      <c r="AM52" s="91">
        <v>52299.11</v>
      </c>
      <c r="AN52" s="91">
        <v>-32</v>
      </c>
      <c r="AO52" s="91">
        <v>-94</v>
      </c>
      <c r="AP52" s="91">
        <v>7</v>
      </c>
      <c r="AQ52" s="91">
        <v>76</v>
      </c>
      <c r="AR52" s="76">
        <v>2473</v>
      </c>
      <c r="AS52" s="76">
        <v>13183</v>
      </c>
      <c r="AT52" s="91">
        <v>1108</v>
      </c>
      <c r="AU52" s="91">
        <v>5587</v>
      </c>
      <c r="AV52" s="91">
        <v>9481</v>
      </c>
      <c r="AW52" s="91">
        <v>28562</v>
      </c>
      <c r="AX52" s="91">
        <v>0</v>
      </c>
      <c r="AY52" s="91">
        <v>0</v>
      </c>
      <c r="AZ52" s="91">
        <v>9700</v>
      </c>
      <c r="BA52" s="91">
        <v>46920</v>
      </c>
      <c r="BB52" s="91">
        <v>1689</v>
      </c>
      <c r="BC52" s="91">
        <v>6095</v>
      </c>
      <c r="BD52" s="91">
        <v>42576</v>
      </c>
      <c r="BE52" s="91">
        <v>137845</v>
      </c>
      <c r="BF52" s="91">
        <v>9663</v>
      </c>
      <c r="BG52" s="91">
        <v>35647</v>
      </c>
      <c r="BH52" s="91">
        <v>11112</v>
      </c>
      <c r="BI52" s="91">
        <v>43402</v>
      </c>
      <c r="BJ52" s="91">
        <v>1751</v>
      </c>
      <c r="BK52" s="91">
        <v>2893</v>
      </c>
      <c r="BL52" s="68">
        <f t="shared" si="8"/>
        <v>98860.61</v>
      </c>
      <c r="BM52" s="68">
        <f t="shared" si="9"/>
        <v>397977.18</v>
      </c>
    </row>
    <row r="53" spans="1:65" s="7" customFormat="1" x14ac:dyDescent="0.25">
      <c r="A53" s="3" t="s">
        <v>283</v>
      </c>
      <c r="B53" s="10">
        <v>8056</v>
      </c>
      <c r="C53" s="10">
        <v>27451</v>
      </c>
      <c r="D53" s="10">
        <v>20551</v>
      </c>
      <c r="E53" s="10">
        <v>82884</v>
      </c>
      <c r="F53" s="10"/>
      <c r="G53" s="10"/>
      <c r="H53" s="10">
        <v>43872</v>
      </c>
      <c r="I53" s="10">
        <v>180916</v>
      </c>
      <c r="J53" s="10">
        <v>24797</v>
      </c>
      <c r="K53" s="10">
        <v>142267</v>
      </c>
      <c r="L53" s="10">
        <v>8396</v>
      </c>
      <c r="M53" s="10">
        <v>54771</v>
      </c>
      <c r="N53" s="10"/>
      <c r="O53" s="10"/>
      <c r="P53" s="127">
        <v>2330.27</v>
      </c>
      <c r="Q53" s="127">
        <v>11103.64</v>
      </c>
      <c r="R53" s="10">
        <v>7474.11</v>
      </c>
      <c r="S53" s="10">
        <v>36047.71</v>
      </c>
      <c r="T53" s="10">
        <v>4576</v>
      </c>
      <c r="U53" s="10">
        <v>14493</v>
      </c>
      <c r="V53" s="10">
        <v>62846</v>
      </c>
      <c r="W53" s="10">
        <v>295907</v>
      </c>
      <c r="X53" s="10">
        <v>66823</v>
      </c>
      <c r="Y53" s="10">
        <v>282431</v>
      </c>
      <c r="Z53" s="10">
        <v>41901</v>
      </c>
      <c r="AA53" s="10">
        <v>182366</v>
      </c>
      <c r="AB53" s="10">
        <v>2738</v>
      </c>
      <c r="AC53" s="10">
        <v>11545</v>
      </c>
      <c r="AD53" s="10">
        <v>4069</v>
      </c>
      <c r="AE53" s="10">
        <v>18518</v>
      </c>
      <c r="AF53" s="10">
        <v>1549</v>
      </c>
      <c r="AG53" s="10">
        <v>5711</v>
      </c>
      <c r="AH53" s="10">
        <v>13804.89</v>
      </c>
      <c r="AI53" s="10">
        <v>61704.18</v>
      </c>
      <c r="AJ53" s="10">
        <v>25432</v>
      </c>
      <c r="AK53" s="10">
        <v>104367</v>
      </c>
      <c r="AL53" s="10">
        <v>174287.79</v>
      </c>
      <c r="AM53" s="10">
        <v>645621.38</v>
      </c>
      <c r="AN53" s="10">
        <v>386</v>
      </c>
      <c r="AO53" s="10">
        <v>937</v>
      </c>
      <c r="AP53" s="10">
        <v>128</v>
      </c>
      <c r="AQ53" s="10">
        <v>1448</v>
      </c>
      <c r="AR53" s="10">
        <v>18240</v>
      </c>
      <c r="AS53" s="10">
        <v>77675</v>
      </c>
      <c r="AT53" s="10">
        <v>8284</v>
      </c>
      <c r="AU53" s="10">
        <v>30215</v>
      </c>
      <c r="AV53" s="10">
        <v>30701</v>
      </c>
      <c r="AW53" s="10">
        <v>122803</v>
      </c>
      <c r="AX53" s="10">
        <v>4</v>
      </c>
      <c r="AY53" s="10">
        <v>4</v>
      </c>
      <c r="AZ53" s="10">
        <v>184309</v>
      </c>
      <c r="BA53" s="10">
        <v>840106</v>
      </c>
      <c r="BB53" s="10">
        <v>29825</v>
      </c>
      <c r="BC53" s="10">
        <v>91421</v>
      </c>
      <c r="BD53" s="10">
        <v>362454</v>
      </c>
      <c r="BE53" s="10">
        <v>1464839</v>
      </c>
      <c r="BF53" s="10">
        <v>219546</v>
      </c>
      <c r="BG53" s="10">
        <v>755389</v>
      </c>
      <c r="BH53" s="10">
        <v>193558</v>
      </c>
      <c r="BI53" s="10">
        <v>718179</v>
      </c>
      <c r="BJ53" s="10">
        <v>9243</v>
      </c>
      <c r="BK53" s="10">
        <v>30924</v>
      </c>
      <c r="BL53" s="63">
        <f t="shared" si="8"/>
        <v>1570181.06</v>
      </c>
      <c r="BM53" s="63">
        <f t="shared" si="9"/>
        <v>6292043.9100000001</v>
      </c>
    </row>
    <row r="54" spans="1:65" x14ac:dyDescent="0.25">
      <c r="A54" s="20" t="s">
        <v>284</v>
      </c>
      <c r="B54" s="91">
        <v>3751</v>
      </c>
      <c r="C54" s="91">
        <v>3751</v>
      </c>
      <c r="D54" s="91">
        <v>11388</v>
      </c>
      <c r="E54" s="91">
        <v>11388</v>
      </c>
      <c r="F54" s="76"/>
      <c r="G54" s="76"/>
      <c r="H54" s="91">
        <v>43004</v>
      </c>
      <c r="I54" s="91">
        <v>43004</v>
      </c>
      <c r="J54" s="91">
        <v>44146</v>
      </c>
      <c r="K54" s="91">
        <v>44146</v>
      </c>
      <c r="L54" s="91">
        <v>6331</v>
      </c>
      <c r="M54" s="91">
        <v>6331</v>
      </c>
      <c r="N54" s="76"/>
      <c r="O54" s="76"/>
      <c r="P54" s="90">
        <v>3081.76</v>
      </c>
      <c r="Q54" s="90">
        <v>3081.76</v>
      </c>
      <c r="R54" s="91">
        <v>6308.9</v>
      </c>
      <c r="S54" s="91">
        <v>6308.9</v>
      </c>
      <c r="T54" s="91">
        <v>3484</v>
      </c>
      <c r="U54" s="91">
        <v>3484</v>
      </c>
      <c r="V54" s="91">
        <v>49635</v>
      </c>
      <c r="W54" s="91">
        <v>49635</v>
      </c>
      <c r="X54" s="91">
        <v>75794</v>
      </c>
      <c r="Y54" s="91">
        <v>75794</v>
      </c>
      <c r="Z54" s="91">
        <v>3581</v>
      </c>
      <c r="AA54" s="91">
        <v>23268</v>
      </c>
      <c r="AB54" s="91">
        <v>3802</v>
      </c>
      <c r="AC54" s="91">
        <v>3802</v>
      </c>
      <c r="AD54" s="91">
        <v>4705</v>
      </c>
      <c r="AE54" s="91">
        <v>4705</v>
      </c>
      <c r="AF54" s="91">
        <v>1387</v>
      </c>
      <c r="AG54" s="91">
        <v>1387</v>
      </c>
      <c r="AH54" s="91">
        <v>10102.709999999999</v>
      </c>
      <c r="AI54" s="91">
        <v>10102.709999999999</v>
      </c>
      <c r="AJ54" s="91">
        <v>25807</v>
      </c>
      <c r="AK54" s="91">
        <v>25807</v>
      </c>
      <c r="AL54" s="91">
        <v>112788.08</v>
      </c>
      <c r="AM54" s="91">
        <v>112788.08</v>
      </c>
      <c r="AN54" s="91">
        <v>441</v>
      </c>
      <c r="AO54" s="91">
        <v>441</v>
      </c>
      <c r="AP54" s="91">
        <v>188</v>
      </c>
      <c r="AQ54" s="91">
        <v>188</v>
      </c>
      <c r="AR54" s="76">
        <v>27407</v>
      </c>
      <c r="AS54" s="76">
        <v>27407</v>
      </c>
      <c r="AT54" s="91">
        <v>7010</v>
      </c>
      <c r="AU54" s="91">
        <v>7010</v>
      </c>
      <c r="AV54" s="91">
        <v>30617</v>
      </c>
      <c r="AW54" s="91">
        <v>30617</v>
      </c>
      <c r="AX54" s="91">
        <v>63</v>
      </c>
      <c r="AY54" s="91">
        <v>366</v>
      </c>
      <c r="AZ54" s="91">
        <v>87328</v>
      </c>
      <c r="BA54" s="91">
        <v>87328</v>
      </c>
      <c r="BB54" s="91">
        <v>30752</v>
      </c>
      <c r="BC54" s="91">
        <v>30752</v>
      </c>
      <c r="BD54" s="91">
        <v>191471</v>
      </c>
      <c r="BE54" s="91">
        <v>191471</v>
      </c>
      <c r="BF54" s="91">
        <v>-26195</v>
      </c>
      <c r="BG54" s="91">
        <v>118909</v>
      </c>
      <c r="BH54" s="91">
        <v>131551</v>
      </c>
      <c r="BI54" s="91">
        <v>131551</v>
      </c>
      <c r="BJ54" s="91">
        <v>-1877</v>
      </c>
      <c r="BK54" s="91">
        <v>3443</v>
      </c>
      <c r="BL54" s="68">
        <f t="shared" si="8"/>
        <v>887852.45</v>
      </c>
      <c r="BM54" s="68">
        <f t="shared" si="9"/>
        <v>1058266.45</v>
      </c>
    </row>
    <row r="55" spans="1:65" ht="15" customHeight="1" x14ac:dyDescent="0.25">
      <c r="A55" s="20" t="s">
        <v>285</v>
      </c>
      <c r="B55" s="91">
        <v>4681</v>
      </c>
      <c r="C55" s="91">
        <v>1200</v>
      </c>
      <c r="D55" s="91">
        <v>11335</v>
      </c>
      <c r="E55" s="91">
        <v>12860</v>
      </c>
      <c r="F55" s="76"/>
      <c r="G55" s="76"/>
      <c r="H55" s="91">
        <v>36284</v>
      </c>
      <c r="I55" s="91">
        <v>35046</v>
      </c>
      <c r="J55" s="91">
        <v>39850</v>
      </c>
      <c r="K55" s="91">
        <v>30985</v>
      </c>
      <c r="L55" s="91">
        <v>6567</v>
      </c>
      <c r="M55" s="91">
        <v>8125</v>
      </c>
      <c r="N55" s="76"/>
      <c r="O55" s="76"/>
      <c r="P55" s="90">
        <v>3213.1</v>
      </c>
      <c r="Q55" s="90">
        <v>3463.69</v>
      </c>
      <c r="R55" s="91">
        <v>6560.07</v>
      </c>
      <c r="S55" s="91">
        <v>8205</v>
      </c>
      <c r="T55" s="91">
        <v>5551</v>
      </c>
      <c r="U55" s="91">
        <v>3090</v>
      </c>
      <c r="V55" s="91">
        <v>-55005</v>
      </c>
      <c r="W55" s="91">
        <v>-61988</v>
      </c>
      <c r="X55" s="91">
        <v>77380</v>
      </c>
      <c r="Y55" s="91">
        <v>62961</v>
      </c>
      <c r="Z55" s="91"/>
      <c r="AA55" s="91">
        <v>20934</v>
      </c>
      <c r="AB55" s="91">
        <v>3532</v>
      </c>
      <c r="AC55" s="91">
        <v>2565</v>
      </c>
      <c r="AD55" s="91">
        <v>4854</v>
      </c>
      <c r="AE55" s="91">
        <v>4308</v>
      </c>
      <c r="AF55" s="91">
        <v>-1935</v>
      </c>
      <c r="AG55" s="91">
        <v>-1509</v>
      </c>
      <c r="AH55" s="91">
        <v>9932.2099999999991</v>
      </c>
      <c r="AI55" s="91">
        <v>9212.2099999999991</v>
      </c>
      <c r="AJ55" s="91">
        <v>23744</v>
      </c>
      <c r="AK55" s="91">
        <v>21860</v>
      </c>
      <c r="AL55" s="91">
        <v>132164.48000000001</v>
      </c>
      <c r="AM55" s="91">
        <v>92019.24</v>
      </c>
      <c r="AN55" s="91">
        <v>-456</v>
      </c>
      <c r="AO55" s="91">
        <v>-379</v>
      </c>
      <c r="AP55" s="91">
        <v>183</v>
      </c>
      <c r="AQ55" s="91">
        <v>603</v>
      </c>
      <c r="AR55" s="76">
        <v>29808</v>
      </c>
      <c r="AS55" s="76">
        <v>29824</v>
      </c>
      <c r="AT55" s="91">
        <v>7901</v>
      </c>
      <c r="AU55" s="91">
        <v>7255</v>
      </c>
      <c r="AV55" s="91">
        <v>33009</v>
      </c>
      <c r="AW55" s="91">
        <v>24418</v>
      </c>
      <c r="AX55" s="91"/>
      <c r="AY55" s="91">
        <v>62</v>
      </c>
      <c r="AZ55" s="91">
        <v>94941</v>
      </c>
      <c r="BA55" s="91">
        <v>81368</v>
      </c>
      <c r="BB55" s="91">
        <v>29545</v>
      </c>
      <c r="BC55" s="91">
        <v>24807</v>
      </c>
      <c r="BD55" s="91">
        <v>210299</v>
      </c>
      <c r="BE55" s="91">
        <v>154132</v>
      </c>
      <c r="BF55" s="91">
        <v>0</v>
      </c>
      <c r="BG55" s="91">
        <v>100550</v>
      </c>
      <c r="BH55" s="91">
        <v>135869</v>
      </c>
      <c r="BI55" s="91">
        <v>135869</v>
      </c>
      <c r="BJ55" s="91"/>
      <c r="BK55" s="91">
        <v>3231</v>
      </c>
      <c r="BL55" s="68">
        <f t="shared" si="8"/>
        <v>849806.86</v>
      </c>
      <c r="BM55" s="68">
        <f t="shared" si="9"/>
        <v>815077.14</v>
      </c>
    </row>
    <row r="56" spans="1:65" s="7" customFormat="1" x14ac:dyDescent="0.25">
      <c r="A56" s="3" t="s">
        <v>286</v>
      </c>
      <c r="B56" s="10">
        <v>7126</v>
      </c>
      <c r="C56" s="10">
        <v>30002</v>
      </c>
      <c r="D56" s="10">
        <v>20604</v>
      </c>
      <c r="E56" s="10">
        <v>81412</v>
      </c>
      <c r="F56" s="10"/>
      <c r="G56" s="10"/>
      <c r="H56" s="10">
        <v>50591</v>
      </c>
      <c r="I56" s="10">
        <v>188874</v>
      </c>
      <c r="J56" s="10">
        <v>29093</v>
      </c>
      <c r="K56" s="10">
        <v>155428</v>
      </c>
      <c r="L56" s="10">
        <v>8161</v>
      </c>
      <c r="M56" s="10">
        <v>52977</v>
      </c>
      <c r="N56" s="10"/>
      <c r="O56" s="10"/>
      <c r="P56" s="127">
        <v>2198.9299999999998</v>
      </c>
      <c r="Q56" s="127">
        <v>10721.71</v>
      </c>
      <c r="R56" s="10">
        <v>7222.94</v>
      </c>
      <c r="S56" s="10">
        <v>34151.61</v>
      </c>
      <c r="T56" s="10">
        <v>2509</v>
      </c>
      <c r="U56" s="10">
        <v>14887</v>
      </c>
      <c r="V56" s="10">
        <v>57476</v>
      </c>
      <c r="W56" s="10">
        <v>283554</v>
      </c>
      <c r="X56" s="10">
        <v>65237</v>
      </c>
      <c r="Y56" s="10">
        <v>289061</v>
      </c>
      <c r="Z56" s="10">
        <v>45482</v>
      </c>
      <c r="AA56" s="10">
        <v>184700</v>
      </c>
      <c r="AB56" s="10">
        <v>3007</v>
      </c>
      <c r="AC56" s="10">
        <v>12782</v>
      </c>
      <c r="AD56" s="10">
        <v>3920</v>
      </c>
      <c r="AE56" s="10">
        <v>18915</v>
      </c>
      <c r="AF56" s="10">
        <v>1001</v>
      </c>
      <c r="AG56" s="10">
        <v>5588</v>
      </c>
      <c r="AH56" s="10">
        <v>13975.38</v>
      </c>
      <c r="AI56" s="10">
        <v>62594.68</v>
      </c>
      <c r="AJ56" s="10">
        <v>27494</v>
      </c>
      <c r="AK56" s="10">
        <v>108314</v>
      </c>
      <c r="AL56" s="10">
        <v>154911.39000000001</v>
      </c>
      <c r="AM56" s="10">
        <v>666390.21</v>
      </c>
      <c r="AN56" s="10">
        <v>370</v>
      </c>
      <c r="AO56" s="10">
        <v>999</v>
      </c>
      <c r="AP56" s="10">
        <v>133</v>
      </c>
      <c r="AQ56" s="10">
        <v>1033</v>
      </c>
      <c r="AR56" s="10">
        <v>15839</v>
      </c>
      <c r="AS56" s="10">
        <v>75258</v>
      </c>
      <c r="AT56" s="10">
        <v>7393</v>
      </c>
      <c r="AU56" s="10">
        <v>29970</v>
      </c>
      <c r="AV56" s="10">
        <v>28310</v>
      </c>
      <c r="AW56" s="10">
        <v>129001</v>
      </c>
      <c r="AX56" s="10">
        <v>67</v>
      </c>
      <c r="AY56" s="10">
        <v>308</v>
      </c>
      <c r="AZ56" s="10">
        <v>176695</v>
      </c>
      <c r="BA56" s="10">
        <v>846067</v>
      </c>
      <c r="BB56" s="10">
        <v>31032</v>
      </c>
      <c r="BC56" s="10">
        <v>97365</v>
      </c>
      <c r="BD56" s="10">
        <v>343627</v>
      </c>
      <c r="BE56" s="10">
        <v>1502178</v>
      </c>
      <c r="BF56" s="10">
        <v>193352</v>
      </c>
      <c r="BG56" s="10">
        <v>773748</v>
      </c>
      <c r="BH56" s="10">
        <v>189240</v>
      </c>
      <c r="BI56" s="10">
        <v>713860</v>
      </c>
      <c r="BJ56" s="10">
        <v>7366</v>
      </c>
      <c r="BK56" s="10">
        <v>31136</v>
      </c>
      <c r="BL56" s="63">
        <f t="shared" si="8"/>
        <v>1493433.6400000001</v>
      </c>
      <c r="BM56" s="63">
        <f t="shared" si="9"/>
        <v>6401275.21</v>
      </c>
    </row>
    <row r="57" spans="1:65" x14ac:dyDescent="0.25">
      <c r="A57" s="13"/>
    </row>
    <row r="58" spans="1:65" x14ac:dyDescent="0.25">
      <c r="A58" s="27" t="s">
        <v>187</v>
      </c>
    </row>
    <row r="59" spans="1:65" x14ac:dyDescent="0.25">
      <c r="A59" s="3" t="s">
        <v>0</v>
      </c>
      <c r="B59" s="154" t="s">
        <v>1</v>
      </c>
      <c r="C59" s="155"/>
      <c r="D59" s="154" t="s">
        <v>234</v>
      </c>
      <c r="E59" s="155"/>
      <c r="F59" s="154" t="s">
        <v>2</v>
      </c>
      <c r="G59" s="155"/>
      <c r="H59" s="154" t="s">
        <v>3</v>
      </c>
      <c r="I59" s="155"/>
      <c r="J59" s="154" t="s">
        <v>243</v>
      </c>
      <c r="K59" s="155"/>
      <c r="L59" s="154" t="s">
        <v>235</v>
      </c>
      <c r="M59" s="155"/>
      <c r="N59" s="154" t="s">
        <v>5</v>
      </c>
      <c r="O59" s="155"/>
      <c r="P59" s="154" t="s">
        <v>4</v>
      </c>
      <c r="Q59" s="155"/>
      <c r="R59" s="154" t="s">
        <v>6</v>
      </c>
      <c r="S59" s="155"/>
      <c r="T59" s="154" t="s">
        <v>246</v>
      </c>
      <c r="U59" s="155"/>
      <c r="V59" s="154" t="s">
        <v>7</v>
      </c>
      <c r="W59" s="155"/>
      <c r="X59" s="154" t="s">
        <v>8</v>
      </c>
      <c r="Y59" s="155"/>
      <c r="Z59" s="154" t="s">
        <v>9</v>
      </c>
      <c r="AA59" s="155"/>
      <c r="AB59" s="154" t="s">
        <v>242</v>
      </c>
      <c r="AC59" s="155"/>
      <c r="AD59" s="154" t="s">
        <v>10</v>
      </c>
      <c r="AE59" s="155"/>
      <c r="AF59" s="154" t="s">
        <v>11</v>
      </c>
      <c r="AG59" s="155"/>
      <c r="AH59" s="154" t="s">
        <v>236</v>
      </c>
      <c r="AI59" s="155"/>
      <c r="AJ59" s="154" t="s">
        <v>245</v>
      </c>
      <c r="AK59" s="155"/>
      <c r="AL59" s="154" t="s">
        <v>12</v>
      </c>
      <c r="AM59" s="155"/>
      <c r="AN59" s="154" t="s">
        <v>237</v>
      </c>
      <c r="AO59" s="155"/>
      <c r="AP59" s="154" t="s">
        <v>238</v>
      </c>
      <c r="AQ59" s="155"/>
      <c r="AR59" s="154" t="s">
        <v>241</v>
      </c>
      <c r="AS59" s="155"/>
      <c r="AT59" s="154" t="s">
        <v>13</v>
      </c>
      <c r="AU59" s="155"/>
      <c r="AV59" s="154" t="s">
        <v>14</v>
      </c>
      <c r="AW59" s="155"/>
      <c r="AX59" s="154" t="s">
        <v>15</v>
      </c>
      <c r="AY59" s="155"/>
      <c r="AZ59" s="154" t="s">
        <v>16</v>
      </c>
      <c r="BA59" s="155"/>
      <c r="BB59" s="154" t="s">
        <v>17</v>
      </c>
      <c r="BC59" s="155"/>
      <c r="BD59" s="154" t="s">
        <v>239</v>
      </c>
      <c r="BE59" s="155"/>
      <c r="BF59" s="154" t="s">
        <v>240</v>
      </c>
      <c r="BG59" s="155"/>
      <c r="BH59" s="154" t="s">
        <v>18</v>
      </c>
      <c r="BI59" s="155"/>
      <c r="BJ59" s="154" t="s">
        <v>19</v>
      </c>
      <c r="BK59" s="155"/>
      <c r="BL59" s="156" t="s">
        <v>20</v>
      </c>
      <c r="BM59" s="157"/>
    </row>
    <row r="60" spans="1:65" ht="30" x14ac:dyDescent="0.25">
      <c r="A60" s="3"/>
      <c r="B60" s="53" t="s">
        <v>300</v>
      </c>
      <c r="C60" s="54" t="s">
        <v>301</v>
      </c>
      <c r="D60" s="53" t="s">
        <v>300</v>
      </c>
      <c r="E60" s="54" t="s">
        <v>301</v>
      </c>
      <c r="F60" s="53" t="s">
        <v>300</v>
      </c>
      <c r="G60" s="54" t="s">
        <v>301</v>
      </c>
      <c r="H60" s="53" t="s">
        <v>300</v>
      </c>
      <c r="I60" s="54" t="s">
        <v>301</v>
      </c>
      <c r="J60" s="53" t="s">
        <v>300</v>
      </c>
      <c r="K60" s="54" t="s">
        <v>301</v>
      </c>
      <c r="L60" s="53" t="s">
        <v>300</v>
      </c>
      <c r="M60" s="54" t="s">
        <v>301</v>
      </c>
      <c r="N60" s="53" t="s">
        <v>300</v>
      </c>
      <c r="O60" s="54" t="s">
        <v>301</v>
      </c>
      <c r="P60" s="53" t="s">
        <v>300</v>
      </c>
      <c r="Q60" s="54" t="s">
        <v>301</v>
      </c>
      <c r="R60" s="53" t="s">
        <v>300</v>
      </c>
      <c r="S60" s="54" t="s">
        <v>301</v>
      </c>
      <c r="T60" s="53" t="s">
        <v>300</v>
      </c>
      <c r="U60" s="54" t="s">
        <v>301</v>
      </c>
      <c r="V60" s="53" t="s">
        <v>300</v>
      </c>
      <c r="W60" s="54" t="s">
        <v>301</v>
      </c>
      <c r="X60" s="53" t="s">
        <v>300</v>
      </c>
      <c r="Y60" s="54" t="s">
        <v>301</v>
      </c>
      <c r="Z60" s="53" t="s">
        <v>300</v>
      </c>
      <c r="AA60" s="54" t="s">
        <v>301</v>
      </c>
      <c r="AB60" s="53" t="s">
        <v>300</v>
      </c>
      <c r="AC60" s="54" t="s">
        <v>301</v>
      </c>
      <c r="AD60" s="53" t="s">
        <v>300</v>
      </c>
      <c r="AE60" s="54" t="s">
        <v>301</v>
      </c>
      <c r="AF60" s="53" t="s">
        <v>300</v>
      </c>
      <c r="AG60" s="54" t="s">
        <v>301</v>
      </c>
      <c r="AH60" s="53" t="s">
        <v>300</v>
      </c>
      <c r="AI60" s="54" t="s">
        <v>301</v>
      </c>
      <c r="AJ60" s="53" t="s">
        <v>300</v>
      </c>
      <c r="AK60" s="54" t="s">
        <v>301</v>
      </c>
      <c r="AL60" s="53" t="s">
        <v>300</v>
      </c>
      <c r="AM60" s="54" t="s">
        <v>301</v>
      </c>
      <c r="AN60" s="53" t="s">
        <v>300</v>
      </c>
      <c r="AO60" s="54" t="s">
        <v>301</v>
      </c>
      <c r="AP60" s="53" t="s">
        <v>300</v>
      </c>
      <c r="AQ60" s="54" t="s">
        <v>301</v>
      </c>
      <c r="AR60" s="53" t="s">
        <v>300</v>
      </c>
      <c r="AS60" s="54" t="s">
        <v>301</v>
      </c>
      <c r="AT60" s="53" t="s">
        <v>300</v>
      </c>
      <c r="AU60" s="54" t="s">
        <v>301</v>
      </c>
      <c r="AV60" s="53" t="s">
        <v>300</v>
      </c>
      <c r="AW60" s="54" t="s">
        <v>301</v>
      </c>
      <c r="AX60" s="53" t="s">
        <v>300</v>
      </c>
      <c r="AY60" s="54" t="s">
        <v>301</v>
      </c>
      <c r="AZ60" s="53" t="s">
        <v>300</v>
      </c>
      <c r="BA60" s="54" t="s">
        <v>301</v>
      </c>
      <c r="BB60" s="53" t="s">
        <v>300</v>
      </c>
      <c r="BC60" s="54" t="s">
        <v>301</v>
      </c>
      <c r="BD60" s="53" t="s">
        <v>300</v>
      </c>
      <c r="BE60" s="54" t="s">
        <v>301</v>
      </c>
      <c r="BF60" s="53" t="s">
        <v>300</v>
      </c>
      <c r="BG60" s="54" t="s">
        <v>301</v>
      </c>
      <c r="BH60" s="53" t="s">
        <v>300</v>
      </c>
      <c r="BI60" s="54" t="s">
        <v>301</v>
      </c>
      <c r="BJ60" s="53" t="s">
        <v>300</v>
      </c>
      <c r="BK60" s="54" t="s">
        <v>301</v>
      </c>
      <c r="BL60" s="104" t="s">
        <v>300</v>
      </c>
      <c r="BM60" s="105" t="s">
        <v>301</v>
      </c>
    </row>
    <row r="61" spans="1:65" x14ac:dyDescent="0.25">
      <c r="A61" s="20" t="s">
        <v>280</v>
      </c>
      <c r="B61" s="91">
        <v>38</v>
      </c>
      <c r="C61" s="91">
        <v>153</v>
      </c>
      <c r="D61" s="91">
        <v>562</v>
      </c>
      <c r="E61" s="91">
        <v>1389</v>
      </c>
      <c r="F61" s="76"/>
      <c r="G61" s="76"/>
      <c r="H61" s="91">
        <v>2557</v>
      </c>
      <c r="I61" s="91">
        <v>8862</v>
      </c>
      <c r="J61" s="91">
        <v>1402</v>
      </c>
      <c r="K61" s="91">
        <v>4283</v>
      </c>
      <c r="L61" s="91">
        <v>1799</v>
      </c>
      <c r="M61" s="91">
        <v>1799</v>
      </c>
      <c r="N61" s="76"/>
      <c r="O61" s="76"/>
      <c r="P61" s="90">
        <v>92.52</v>
      </c>
      <c r="Q61" s="90">
        <v>284.42</v>
      </c>
      <c r="R61" s="91">
        <v>795.36</v>
      </c>
      <c r="S61" s="91">
        <v>2892.35</v>
      </c>
      <c r="T61" s="91">
        <v>1220</v>
      </c>
      <c r="U61" s="91">
        <v>2334</v>
      </c>
      <c r="V61" s="91">
        <v>6353</v>
      </c>
      <c r="W61" s="91">
        <v>19481</v>
      </c>
      <c r="X61" s="91">
        <v>4959</v>
      </c>
      <c r="Y61" s="91">
        <v>16739</v>
      </c>
      <c r="Z61" s="91">
        <v>2151</v>
      </c>
      <c r="AA61" s="91">
        <v>7038</v>
      </c>
      <c r="AB61" s="91">
        <v>200</v>
      </c>
      <c r="AC61" s="91">
        <v>521</v>
      </c>
      <c r="AD61" s="91">
        <v>292</v>
      </c>
      <c r="AE61" s="91">
        <v>1161</v>
      </c>
      <c r="AF61" s="91">
        <v>37</v>
      </c>
      <c r="AG61" s="91">
        <v>164</v>
      </c>
      <c r="AH61" s="91">
        <v>73.98</v>
      </c>
      <c r="AI61" s="91">
        <v>177.58</v>
      </c>
      <c r="AJ61" s="91">
        <v>236</v>
      </c>
      <c r="AK61" s="91">
        <v>1021</v>
      </c>
      <c r="AL61" s="91">
        <v>6872.62</v>
      </c>
      <c r="AM61" s="91">
        <v>20310.13</v>
      </c>
      <c r="AN61" s="91">
        <v>49</v>
      </c>
      <c r="AO61" s="91">
        <v>244</v>
      </c>
      <c r="AP61" s="91"/>
      <c r="AQ61" s="91">
        <v>315</v>
      </c>
      <c r="AR61" s="76">
        <v>1973</v>
      </c>
      <c r="AS61" s="76">
        <v>4425</v>
      </c>
      <c r="AT61" s="91">
        <v>923</v>
      </c>
      <c r="AU61" s="91">
        <v>2520</v>
      </c>
      <c r="AV61" s="91">
        <v>10440</v>
      </c>
      <c r="AW61" s="91">
        <v>30952</v>
      </c>
      <c r="AX61" s="91">
        <v>419</v>
      </c>
      <c r="AY61" s="91">
        <v>1043</v>
      </c>
      <c r="AZ61" s="91">
        <v>1521</v>
      </c>
      <c r="BA61" s="91">
        <v>5869</v>
      </c>
      <c r="BB61" s="91">
        <v>4256</v>
      </c>
      <c r="BC61" s="91">
        <v>9320</v>
      </c>
      <c r="BD61" s="91">
        <v>23146</v>
      </c>
      <c r="BE61" s="91">
        <v>108053</v>
      </c>
      <c r="BF61" s="91">
        <v>8651</v>
      </c>
      <c r="BG61" s="91">
        <v>22905</v>
      </c>
      <c r="BH61" s="91">
        <v>14914</v>
      </c>
      <c r="BI61" s="91">
        <v>47930</v>
      </c>
      <c r="BJ61" s="91">
        <v>5701</v>
      </c>
      <c r="BK61" s="91">
        <v>17426</v>
      </c>
      <c r="BL61" s="68">
        <f t="shared" ref="BL61:BL67" si="10">SUM(B61+D61+F61+H61+J61+L61+N61+P61+R61+T61+V61+X61+Z61+AB61+AD61+AF61+AH61+AJ61+AL61+AN61+AP61+AR61+AT61+AV61+AX61+AZ61+BB61+BD61+BF61+BH61+BJ61)</f>
        <v>101633.48</v>
      </c>
      <c r="BM61" s="68">
        <f t="shared" ref="BM61:BM67" si="11">SUM(C61+E61+G61+I61+K61+M61+O61+Q61+S61+U61+W61+Y61+AA61+AC61+AE61+AG61+AI61+AK61+AM61+AO61+AQ61+AS61+AU61+AW61+AY61+BA61+BC61+BE61+BG61+BI61+BK61)</f>
        <v>339611.48</v>
      </c>
    </row>
    <row r="62" spans="1:65" x14ac:dyDescent="0.25">
      <c r="A62" s="20" t="s">
        <v>281</v>
      </c>
      <c r="B62" s="91"/>
      <c r="C62" s="91"/>
      <c r="D62" s="91"/>
      <c r="E62" s="91"/>
      <c r="F62" s="76"/>
      <c r="G62" s="76"/>
      <c r="H62" s="91"/>
      <c r="I62" s="91">
        <v>0</v>
      </c>
      <c r="J62" s="91"/>
      <c r="K62" s="91"/>
      <c r="L62" s="91"/>
      <c r="M62" s="91"/>
      <c r="N62" s="76"/>
      <c r="O62" s="76"/>
      <c r="P62" s="90">
        <v>25.8</v>
      </c>
      <c r="Q62" s="90">
        <v>68.430000000000007</v>
      </c>
      <c r="R62" s="91">
        <v>8.85</v>
      </c>
      <c r="S62" s="91">
        <v>8.85</v>
      </c>
      <c r="T62" s="91"/>
      <c r="U62" s="91"/>
      <c r="V62" s="91">
        <v>1</v>
      </c>
      <c r="W62" s="91">
        <v>23</v>
      </c>
      <c r="X62" s="91"/>
      <c r="Y62" s="91"/>
      <c r="Z62" s="91">
        <v>97</v>
      </c>
      <c r="AA62" s="91">
        <v>97</v>
      </c>
      <c r="AB62" s="91"/>
      <c r="AC62" s="91"/>
      <c r="AD62" s="91"/>
      <c r="AE62" s="91"/>
      <c r="AF62" s="91">
        <v>6</v>
      </c>
      <c r="AG62" s="91">
        <v>12</v>
      </c>
      <c r="AH62" s="91"/>
      <c r="AI62" s="91"/>
      <c r="AJ62" s="91"/>
      <c r="AK62" s="91"/>
      <c r="AL62" s="91"/>
      <c r="AM62" s="91"/>
      <c r="AN62" s="91"/>
      <c r="AO62" s="91"/>
      <c r="AP62" s="91"/>
      <c r="AQ62" s="91">
        <v>0</v>
      </c>
      <c r="AR62" s="76">
        <v>6</v>
      </c>
      <c r="AS62" s="76">
        <v>6</v>
      </c>
      <c r="AT62" s="91">
        <v>353</v>
      </c>
      <c r="AU62" s="91">
        <v>521</v>
      </c>
      <c r="AV62" s="91"/>
      <c r="AW62" s="91"/>
      <c r="AX62" s="91"/>
      <c r="AY62" s="91"/>
      <c r="AZ62" s="91"/>
      <c r="BA62" s="91"/>
      <c r="BB62" s="91">
        <v>9</v>
      </c>
      <c r="BC62" s="91">
        <v>33</v>
      </c>
      <c r="BD62" s="91">
        <v>121</v>
      </c>
      <c r="BE62" s="91">
        <v>510</v>
      </c>
      <c r="BF62" s="91">
        <v>0</v>
      </c>
      <c r="BG62" s="91">
        <v>53</v>
      </c>
      <c r="BH62" s="91">
        <v>85</v>
      </c>
      <c r="BI62" s="91">
        <v>129</v>
      </c>
      <c r="BJ62" s="91"/>
      <c r="BK62" s="91"/>
      <c r="BL62" s="68">
        <f t="shared" si="10"/>
        <v>712.65</v>
      </c>
      <c r="BM62" s="68">
        <f t="shared" si="11"/>
        <v>1461.28</v>
      </c>
    </row>
    <row r="63" spans="1:65" x14ac:dyDescent="0.25">
      <c r="A63" s="20" t="s">
        <v>282</v>
      </c>
      <c r="B63" s="91">
        <v>2</v>
      </c>
      <c r="C63" s="91">
        <v>8</v>
      </c>
      <c r="D63" s="91">
        <v>157</v>
      </c>
      <c r="E63" s="91">
        <v>213</v>
      </c>
      <c r="F63" s="76"/>
      <c r="G63" s="76"/>
      <c r="H63" s="91">
        <v>-152</v>
      </c>
      <c r="I63" s="91">
        <v>-578</v>
      </c>
      <c r="J63" s="91">
        <v>136</v>
      </c>
      <c r="K63" s="91">
        <v>509</v>
      </c>
      <c r="L63" s="91">
        <v>594</v>
      </c>
      <c r="M63" s="91">
        <v>594</v>
      </c>
      <c r="N63" s="76"/>
      <c r="O63" s="76"/>
      <c r="P63" s="90">
        <v>50.74</v>
      </c>
      <c r="Q63" s="90">
        <v>180.11</v>
      </c>
      <c r="R63" s="91">
        <v>56.11</v>
      </c>
      <c r="S63" s="91">
        <v>271.91000000000003</v>
      </c>
      <c r="T63" s="91">
        <v>614</v>
      </c>
      <c r="U63" s="91">
        <v>1102</v>
      </c>
      <c r="V63" s="91">
        <v>-1709</v>
      </c>
      <c r="W63" s="91">
        <v>-5652</v>
      </c>
      <c r="X63" s="91">
        <v>336</v>
      </c>
      <c r="Y63" s="91">
        <v>1546</v>
      </c>
      <c r="Z63" s="91">
        <v>299</v>
      </c>
      <c r="AA63" s="91">
        <v>888</v>
      </c>
      <c r="AB63" s="91">
        <v>135</v>
      </c>
      <c r="AC63" s="91">
        <v>324</v>
      </c>
      <c r="AD63" s="91">
        <v>16</v>
      </c>
      <c r="AE63" s="91">
        <v>76</v>
      </c>
      <c r="AF63" s="91">
        <v>-2</v>
      </c>
      <c r="AG63" s="91">
        <v>-8</v>
      </c>
      <c r="AH63" s="91">
        <v>3.94</v>
      </c>
      <c r="AI63" s="91">
        <v>9.9</v>
      </c>
      <c r="AJ63" s="91">
        <v>19</v>
      </c>
      <c r="AK63" s="91">
        <v>268</v>
      </c>
      <c r="AL63" s="91">
        <v>464.72</v>
      </c>
      <c r="AM63" s="91">
        <v>1434.56</v>
      </c>
      <c r="AN63" s="91">
        <v>-24</v>
      </c>
      <c r="AO63" s="91">
        <v>-122</v>
      </c>
      <c r="AP63" s="91"/>
      <c r="AQ63" s="91">
        <v>240</v>
      </c>
      <c r="AR63" s="76">
        <v>1160</v>
      </c>
      <c r="AS63" s="76">
        <v>1863</v>
      </c>
      <c r="AT63" s="91">
        <v>577</v>
      </c>
      <c r="AU63" s="91">
        <v>926</v>
      </c>
      <c r="AV63" s="91">
        <v>1535</v>
      </c>
      <c r="AW63" s="91">
        <v>2842</v>
      </c>
      <c r="AX63" s="91">
        <v>305</v>
      </c>
      <c r="AY63" s="91">
        <v>806</v>
      </c>
      <c r="AZ63" s="91">
        <v>210</v>
      </c>
      <c r="BA63" s="91">
        <v>631</v>
      </c>
      <c r="BB63" s="91">
        <v>1204</v>
      </c>
      <c r="BC63" s="91">
        <v>1455</v>
      </c>
      <c r="BD63" s="91">
        <v>1310</v>
      </c>
      <c r="BE63" s="91">
        <v>5640</v>
      </c>
      <c r="BF63" s="91">
        <v>788</v>
      </c>
      <c r="BG63" s="91">
        <v>2202</v>
      </c>
      <c r="BH63" s="91">
        <v>13361</v>
      </c>
      <c r="BI63" s="91">
        <v>29383</v>
      </c>
      <c r="BJ63" s="91">
        <v>3348</v>
      </c>
      <c r="BK63" s="91">
        <v>6940</v>
      </c>
      <c r="BL63" s="68">
        <f t="shared" si="10"/>
        <v>24794.510000000002</v>
      </c>
      <c r="BM63" s="68">
        <f t="shared" si="11"/>
        <v>53992.479999999996</v>
      </c>
    </row>
    <row r="64" spans="1:65" s="7" customFormat="1" x14ac:dyDescent="0.25">
      <c r="A64" s="3" t="s">
        <v>283</v>
      </c>
      <c r="B64" s="10">
        <v>36</v>
      </c>
      <c r="C64" s="10">
        <v>145</v>
      </c>
      <c r="D64" s="10">
        <v>405</v>
      </c>
      <c r="E64" s="10">
        <v>1176</v>
      </c>
      <c r="F64" s="10"/>
      <c r="G64" s="10"/>
      <c r="H64" s="10">
        <v>2404</v>
      </c>
      <c r="I64" s="10">
        <v>8284</v>
      </c>
      <c r="J64" s="10">
        <v>1266</v>
      </c>
      <c r="K64" s="10">
        <v>3774</v>
      </c>
      <c r="L64" s="10">
        <v>1204</v>
      </c>
      <c r="M64" s="10">
        <v>1204</v>
      </c>
      <c r="N64" s="10"/>
      <c r="O64" s="10"/>
      <c r="P64" s="127">
        <v>67.58</v>
      </c>
      <c r="Q64" s="127">
        <v>172.74</v>
      </c>
      <c r="R64" s="10">
        <v>748.1</v>
      </c>
      <c r="S64" s="10">
        <v>2629.29</v>
      </c>
      <c r="T64" s="10">
        <v>606</v>
      </c>
      <c r="U64" s="10">
        <v>1232</v>
      </c>
      <c r="V64" s="10">
        <v>4645</v>
      </c>
      <c r="W64" s="10">
        <v>13852</v>
      </c>
      <c r="X64" s="10">
        <v>4623</v>
      </c>
      <c r="Y64" s="10">
        <v>15193</v>
      </c>
      <c r="Z64" s="10">
        <v>1949</v>
      </c>
      <c r="AA64" s="10">
        <v>6247</v>
      </c>
      <c r="AB64" s="10">
        <v>65</v>
      </c>
      <c r="AC64" s="10">
        <v>197</v>
      </c>
      <c r="AD64" s="10">
        <v>276</v>
      </c>
      <c r="AE64" s="10">
        <v>1085</v>
      </c>
      <c r="AF64" s="10">
        <v>41</v>
      </c>
      <c r="AG64" s="10">
        <v>167</v>
      </c>
      <c r="AH64" s="10">
        <v>70.040000000000006</v>
      </c>
      <c r="AI64" s="10">
        <v>167.69</v>
      </c>
      <c r="AJ64" s="10">
        <v>217</v>
      </c>
      <c r="AK64" s="10">
        <v>753</v>
      </c>
      <c r="AL64" s="10">
        <v>6407.9</v>
      </c>
      <c r="AM64" s="10">
        <v>18875.57</v>
      </c>
      <c r="AN64" s="10">
        <v>25</v>
      </c>
      <c r="AO64" s="10">
        <v>122</v>
      </c>
      <c r="AP64" s="10"/>
      <c r="AQ64" s="10">
        <v>75</v>
      </c>
      <c r="AR64" s="10">
        <v>819</v>
      </c>
      <c r="AS64" s="10">
        <v>2568</v>
      </c>
      <c r="AT64" s="10">
        <v>699</v>
      </c>
      <c r="AU64" s="10">
        <v>2115</v>
      </c>
      <c r="AV64" s="10">
        <v>8905</v>
      </c>
      <c r="AW64" s="10">
        <v>28110</v>
      </c>
      <c r="AX64" s="10">
        <v>113</v>
      </c>
      <c r="AY64" s="10">
        <v>237</v>
      </c>
      <c r="AZ64" s="10">
        <v>1311</v>
      </c>
      <c r="BA64" s="10">
        <v>5238</v>
      </c>
      <c r="BB64" s="10">
        <v>3061</v>
      </c>
      <c r="BC64" s="10">
        <v>7899</v>
      </c>
      <c r="BD64" s="10">
        <v>21957</v>
      </c>
      <c r="BE64" s="10">
        <v>102922</v>
      </c>
      <c r="BF64" s="10">
        <v>7863</v>
      </c>
      <c r="BG64" s="10">
        <v>20757</v>
      </c>
      <c r="BH64" s="10">
        <v>1637</v>
      </c>
      <c r="BI64" s="10">
        <v>18676</v>
      </c>
      <c r="BJ64" s="10">
        <v>2353</v>
      </c>
      <c r="BK64" s="10">
        <v>10486</v>
      </c>
      <c r="BL64" s="63">
        <f t="shared" si="10"/>
        <v>73773.62</v>
      </c>
      <c r="BM64" s="63">
        <f t="shared" si="11"/>
        <v>274359.29000000004</v>
      </c>
    </row>
    <row r="65" spans="1:65" x14ac:dyDescent="0.25">
      <c r="A65" s="20" t="s">
        <v>284</v>
      </c>
      <c r="B65" s="91">
        <v>89</v>
      </c>
      <c r="C65" s="91">
        <v>89</v>
      </c>
      <c r="D65" s="91">
        <v>2894</v>
      </c>
      <c r="E65" s="91">
        <v>2894</v>
      </c>
      <c r="F65" s="76"/>
      <c r="G65" s="76"/>
      <c r="H65" s="91">
        <v>11795</v>
      </c>
      <c r="I65" s="91">
        <v>11795</v>
      </c>
      <c r="J65" s="91">
        <v>5657</v>
      </c>
      <c r="K65" s="91">
        <v>5657</v>
      </c>
      <c r="L65" s="91">
        <v>3254</v>
      </c>
      <c r="M65" s="91">
        <v>3254</v>
      </c>
      <c r="N65" s="76"/>
      <c r="O65" s="76"/>
      <c r="P65" s="90">
        <v>161.74</v>
      </c>
      <c r="Q65" s="90">
        <v>161.74</v>
      </c>
      <c r="R65" s="91">
        <v>3311.13</v>
      </c>
      <c r="S65" s="91">
        <v>3311.13</v>
      </c>
      <c r="T65" s="91">
        <v>3443</v>
      </c>
      <c r="U65" s="91">
        <v>3443</v>
      </c>
      <c r="V65" s="91">
        <v>24490</v>
      </c>
      <c r="W65" s="91">
        <v>24490</v>
      </c>
      <c r="X65" s="91">
        <v>22788</v>
      </c>
      <c r="Y65" s="91">
        <v>22788</v>
      </c>
      <c r="Z65" s="91">
        <v>697</v>
      </c>
      <c r="AA65" s="91">
        <v>6067</v>
      </c>
      <c r="AB65" s="91">
        <v>582</v>
      </c>
      <c r="AC65" s="91">
        <v>582</v>
      </c>
      <c r="AD65" s="91">
        <v>1596</v>
      </c>
      <c r="AE65" s="91">
        <v>1596</v>
      </c>
      <c r="AF65" s="91">
        <v>325</v>
      </c>
      <c r="AG65" s="91">
        <v>325</v>
      </c>
      <c r="AH65" s="91">
        <v>477.84</v>
      </c>
      <c r="AI65" s="91">
        <v>477.84</v>
      </c>
      <c r="AJ65" s="91">
        <v>1054</v>
      </c>
      <c r="AK65" s="91">
        <v>1054</v>
      </c>
      <c r="AL65" s="91">
        <v>36722.32</v>
      </c>
      <c r="AM65" s="91">
        <v>36722.32</v>
      </c>
      <c r="AN65" s="91">
        <v>196</v>
      </c>
      <c r="AO65" s="91">
        <v>196</v>
      </c>
      <c r="AP65" s="91">
        <v>4</v>
      </c>
      <c r="AQ65" s="91">
        <v>4</v>
      </c>
      <c r="AR65" s="76">
        <v>6343</v>
      </c>
      <c r="AS65" s="76">
        <v>6343</v>
      </c>
      <c r="AT65" s="91">
        <v>2353</v>
      </c>
      <c r="AU65" s="91">
        <v>2353</v>
      </c>
      <c r="AV65" s="91">
        <v>47417</v>
      </c>
      <c r="AW65" s="91">
        <v>47417</v>
      </c>
      <c r="AX65" s="91">
        <v>65</v>
      </c>
      <c r="AY65" s="91">
        <v>931</v>
      </c>
      <c r="AZ65" s="91">
        <v>6613</v>
      </c>
      <c r="BA65" s="91">
        <v>6613</v>
      </c>
      <c r="BB65" s="91">
        <v>11355</v>
      </c>
      <c r="BC65" s="91">
        <v>11355</v>
      </c>
      <c r="BD65" s="91">
        <v>41335</v>
      </c>
      <c r="BE65" s="91">
        <v>41335</v>
      </c>
      <c r="BF65" s="91">
        <v>859</v>
      </c>
      <c r="BG65" s="91">
        <v>22600</v>
      </c>
      <c r="BH65" s="91">
        <v>28242</v>
      </c>
      <c r="BI65" s="91">
        <v>28242</v>
      </c>
      <c r="BJ65" s="91">
        <v>727</v>
      </c>
      <c r="BK65" s="91">
        <v>10123</v>
      </c>
      <c r="BL65" s="68">
        <f t="shared" si="10"/>
        <v>264846.03000000003</v>
      </c>
      <c r="BM65" s="68">
        <f t="shared" si="11"/>
        <v>302219.03000000003</v>
      </c>
    </row>
    <row r="66" spans="1:65" ht="15" customHeight="1" x14ac:dyDescent="0.25">
      <c r="A66" s="20" t="s">
        <v>285</v>
      </c>
      <c r="B66" s="91">
        <v>98</v>
      </c>
      <c r="C66" s="91">
        <v>66</v>
      </c>
      <c r="D66" s="91">
        <v>2648</v>
      </c>
      <c r="E66" s="91">
        <v>3080</v>
      </c>
      <c r="F66" s="76"/>
      <c r="G66" s="76"/>
      <c r="H66" s="91">
        <v>12689</v>
      </c>
      <c r="I66" s="91">
        <v>13066</v>
      </c>
      <c r="J66" s="91">
        <v>5445</v>
      </c>
      <c r="K66" s="91">
        <v>4927</v>
      </c>
      <c r="L66" s="91">
        <v>3641</v>
      </c>
      <c r="M66" s="91">
        <v>3641</v>
      </c>
      <c r="N66" s="76"/>
      <c r="O66" s="76"/>
      <c r="P66" s="90">
        <v>63.98</v>
      </c>
      <c r="Q66" s="90">
        <v>78.39</v>
      </c>
      <c r="R66" s="91">
        <v>3292.16</v>
      </c>
      <c r="S66" s="91">
        <v>3054.96</v>
      </c>
      <c r="T66" s="91">
        <v>2534</v>
      </c>
      <c r="U66" s="91">
        <v>502</v>
      </c>
      <c r="V66" s="91">
        <v>-27927</v>
      </c>
      <c r="W66" s="91">
        <v>-22724</v>
      </c>
      <c r="X66" s="91">
        <v>24769</v>
      </c>
      <c r="Y66" s="91">
        <v>22584</v>
      </c>
      <c r="Z66" s="91"/>
      <c r="AA66" s="91">
        <v>3922</v>
      </c>
      <c r="AB66" s="91">
        <v>326</v>
      </c>
      <c r="AC66" s="91">
        <v>410</v>
      </c>
      <c r="AD66" s="91">
        <v>1564</v>
      </c>
      <c r="AE66" s="91">
        <v>1438</v>
      </c>
      <c r="AF66" s="91">
        <v>-396</v>
      </c>
      <c r="AG66" s="91">
        <v>-358</v>
      </c>
      <c r="AH66" s="91">
        <v>517.74</v>
      </c>
      <c r="AI66" s="91">
        <v>457.85</v>
      </c>
      <c r="AJ66" s="91">
        <v>674</v>
      </c>
      <c r="AK66" s="91">
        <v>1259</v>
      </c>
      <c r="AL66" s="91">
        <v>34108.57</v>
      </c>
      <c r="AM66" s="91">
        <v>22300.6</v>
      </c>
      <c r="AN66" s="91">
        <v>-288</v>
      </c>
      <c r="AO66" s="91">
        <v>-261</v>
      </c>
      <c r="AP66" s="91">
        <v>5</v>
      </c>
      <c r="AQ66" s="91">
        <v>17</v>
      </c>
      <c r="AR66" s="76">
        <v>5392</v>
      </c>
      <c r="AS66" s="76">
        <v>3950</v>
      </c>
      <c r="AT66" s="91">
        <v>2569</v>
      </c>
      <c r="AU66" s="91">
        <v>2465</v>
      </c>
      <c r="AV66" s="91">
        <v>51431</v>
      </c>
      <c r="AW66" s="91">
        <v>46226</v>
      </c>
      <c r="AX66" s="91"/>
      <c r="AY66" s="91">
        <v>461</v>
      </c>
      <c r="AZ66" s="91">
        <v>6028</v>
      </c>
      <c r="BA66" s="91">
        <v>3593</v>
      </c>
      <c r="BB66" s="91">
        <v>9141</v>
      </c>
      <c r="BC66" s="91">
        <v>8454</v>
      </c>
      <c r="BD66" s="91">
        <v>31038</v>
      </c>
      <c r="BE66" s="91">
        <v>28807</v>
      </c>
      <c r="BF66" s="91">
        <v>0</v>
      </c>
      <c r="BG66" s="91">
        <v>17696</v>
      </c>
      <c r="BH66" s="91">
        <v>27780</v>
      </c>
      <c r="BI66" s="91">
        <v>27780</v>
      </c>
      <c r="BJ66" s="91"/>
      <c r="BK66" s="91">
        <v>12587</v>
      </c>
      <c r="BL66" s="68">
        <f t="shared" si="10"/>
        <v>197143.45</v>
      </c>
      <c r="BM66" s="68">
        <f t="shared" si="11"/>
        <v>209479.8</v>
      </c>
    </row>
    <row r="67" spans="1:65" s="7" customFormat="1" x14ac:dyDescent="0.25">
      <c r="A67" s="3" t="s">
        <v>286</v>
      </c>
      <c r="B67" s="10">
        <v>27</v>
      </c>
      <c r="C67" s="10">
        <v>168</v>
      </c>
      <c r="D67" s="10">
        <v>651</v>
      </c>
      <c r="E67" s="10">
        <v>990</v>
      </c>
      <c r="F67" s="10"/>
      <c r="G67" s="10"/>
      <c r="H67" s="10">
        <v>1511</v>
      </c>
      <c r="I67" s="10">
        <v>7013</v>
      </c>
      <c r="J67" s="10">
        <v>1478</v>
      </c>
      <c r="K67" s="10">
        <v>4504</v>
      </c>
      <c r="L67" s="10">
        <v>817</v>
      </c>
      <c r="M67" s="10">
        <v>817</v>
      </c>
      <c r="N67" s="10"/>
      <c r="O67" s="10"/>
      <c r="P67" s="127">
        <v>165.34</v>
      </c>
      <c r="Q67" s="127">
        <v>256.08999999999997</v>
      </c>
      <c r="R67" s="10">
        <v>767.07</v>
      </c>
      <c r="S67" s="10">
        <v>2885.46</v>
      </c>
      <c r="T67" s="10">
        <v>1515</v>
      </c>
      <c r="U67" s="10">
        <v>4173</v>
      </c>
      <c r="V67" s="10">
        <v>1208</v>
      </c>
      <c r="W67" s="10">
        <v>15618</v>
      </c>
      <c r="X67" s="10">
        <v>2642</v>
      </c>
      <c r="Y67" s="10">
        <v>13733</v>
      </c>
      <c r="Z67" s="10">
        <v>2646</v>
      </c>
      <c r="AA67" s="10">
        <v>8392</v>
      </c>
      <c r="AB67" s="10">
        <v>321</v>
      </c>
      <c r="AC67" s="10">
        <v>369</v>
      </c>
      <c r="AD67" s="10">
        <v>308</v>
      </c>
      <c r="AE67" s="10">
        <v>1243</v>
      </c>
      <c r="AF67" s="10">
        <v>-30</v>
      </c>
      <c r="AG67" s="10">
        <v>135</v>
      </c>
      <c r="AH67" s="10">
        <v>30.14</v>
      </c>
      <c r="AI67" s="10">
        <v>187.68</v>
      </c>
      <c r="AJ67" s="10">
        <v>597</v>
      </c>
      <c r="AK67" s="10">
        <v>549</v>
      </c>
      <c r="AL67" s="10">
        <v>9021.66</v>
      </c>
      <c r="AM67" s="10">
        <v>33297.29</v>
      </c>
      <c r="AN67" s="10">
        <v>-67</v>
      </c>
      <c r="AO67" s="10">
        <v>57</v>
      </c>
      <c r="AP67" s="10">
        <v>-1</v>
      </c>
      <c r="AQ67" s="10">
        <v>62</v>
      </c>
      <c r="AR67" s="10">
        <v>1769</v>
      </c>
      <c r="AS67" s="10">
        <v>4961</v>
      </c>
      <c r="AT67" s="10">
        <v>483</v>
      </c>
      <c r="AU67" s="10">
        <v>2004</v>
      </c>
      <c r="AV67" s="10">
        <v>4890</v>
      </c>
      <c r="AW67" s="10">
        <v>29300</v>
      </c>
      <c r="AX67" s="10">
        <v>178</v>
      </c>
      <c r="AY67" s="10">
        <v>706</v>
      </c>
      <c r="AZ67" s="10">
        <v>1896</v>
      </c>
      <c r="BA67" s="10">
        <v>8258</v>
      </c>
      <c r="BB67" s="10">
        <v>5275</v>
      </c>
      <c r="BC67" s="10">
        <v>10799</v>
      </c>
      <c r="BD67" s="10">
        <v>32254</v>
      </c>
      <c r="BE67" s="10">
        <v>115450</v>
      </c>
      <c r="BF67" s="10">
        <v>8722</v>
      </c>
      <c r="BG67" s="10">
        <v>25661</v>
      </c>
      <c r="BH67" s="10">
        <v>2098</v>
      </c>
      <c r="BI67" s="10">
        <v>19137</v>
      </c>
      <c r="BJ67" s="10">
        <v>3080</v>
      </c>
      <c r="BK67" s="10">
        <v>8023</v>
      </c>
      <c r="BL67" s="63">
        <f t="shared" si="10"/>
        <v>84252.209999999992</v>
      </c>
      <c r="BM67" s="63">
        <f t="shared" si="11"/>
        <v>318748.52</v>
      </c>
    </row>
    <row r="68" spans="1:65" x14ac:dyDescent="0.25">
      <c r="A68" s="13"/>
    </row>
    <row r="69" spans="1:65" x14ac:dyDescent="0.25">
      <c r="A69" s="27" t="s">
        <v>244</v>
      </c>
    </row>
    <row r="70" spans="1:65" x14ac:dyDescent="0.25">
      <c r="A70" s="3" t="s">
        <v>0</v>
      </c>
      <c r="B70" s="154" t="s">
        <v>1</v>
      </c>
      <c r="C70" s="155"/>
      <c r="D70" s="154" t="s">
        <v>234</v>
      </c>
      <c r="E70" s="155"/>
      <c r="F70" s="154" t="s">
        <v>2</v>
      </c>
      <c r="G70" s="155"/>
      <c r="H70" s="154" t="s">
        <v>3</v>
      </c>
      <c r="I70" s="155"/>
      <c r="J70" s="154" t="s">
        <v>243</v>
      </c>
      <c r="K70" s="155"/>
      <c r="L70" s="154" t="s">
        <v>235</v>
      </c>
      <c r="M70" s="155"/>
      <c r="N70" s="154" t="s">
        <v>5</v>
      </c>
      <c r="O70" s="155"/>
      <c r="P70" s="154" t="s">
        <v>4</v>
      </c>
      <c r="Q70" s="155"/>
      <c r="R70" s="154" t="s">
        <v>6</v>
      </c>
      <c r="S70" s="155"/>
      <c r="T70" s="154" t="s">
        <v>246</v>
      </c>
      <c r="U70" s="155"/>
      <c r="V70" s="154" t="s">
        <v>7</v>
      </c>
      <c r="W70" s="155"/>
      <c r="X70" s="154" t="s">
        <v>8</v>
      </c>
      <c r="Y70" s="155"/>
      <c r="Z70" s="154" t="s">
        <v>9</v>
      </c>
      <c r="AA70" s="155"/>
      <c r="AB70" s="154" t="s">
        <v>242</v>
      </c>
      <c r="AC70" s="155"/>
      <c r="AD70" s="154" t="s">
        <v>10</v>
      </c>
      <c r="AE70" s="155"/>
      <c r="AF70" s="154" t="s">
        <v>11</v>
      </c>
      <c r="AG70" s="155"/>
      <c r="AH70" s="154" t="s">
        <v>236</v>
      </c>
      <c r="AI70" s="155"/>
      <c r="AJ70" s="154" t="s">
        <v>245</v>
      </c>
      <c r="AK70" s="155"/>
      <c r="AL70" s="154" t="s">
        <v>12</v>
      </c>
      <c r="AM70" s="155"/>
      <c r="AN70" s="154" t="s">
        <v>237</v>
      </c>
      <c r="AO70" s="155"/>
      <c r="AP70" s="154" t="s">
        <v>238</v>
      </c>
      <c r="AQ70" s="155"/>
      <c r="AR70" s="154" t="s">
        <v>241</v>
      </c>
      <c r="AS70" s="155"/>
      <c r="AT70" s="154" t="s">
        <v>13</v>
      </c>
      <c r="AU70" s="155"/>
      <c r="AV70" s="154" t="s">
        <v>14</v>
      </c>
      <c r="AW70" s="155"/>
      <c r="AX70" s="154" t="s">
        <v>15</v>
      </c>
      <c r="AY70" s="155"/>
      <c r="AZ70" s="154" t="s">
        <v>16</v>
      </c>
      <c r="BA70" s="155"/>
      <c r="BB70" s="154" t="s">
        <v>17</v>
      </c>
      <c r="BC70" s="155"/>
      <c r="BD70" s="154" t="s">
        <v>239</v>
      </c>
      <c r="BE70" s="155"/>
      <c r="BF70" s="154" t="s">
        <v>240</v>
      </c>
      <c r="BG70" s="155"/>
      <c r="BH70" s="154" t="s">
        <v>18</v>
      </c>
      <c r="BI70" s="155"/>
      <c r="BJ70" s="154" t="s">
        <v>19</v>
      </c>
      <c r="BK70" s="155"/>
      <c r="BL70" s="156" t="s">
        <v>20</v>
      </c>
      <c r="BM70" s="157"/>
    </row>
    <row r="71" spans="1:65" ht="30" x14ac:dyDescent="0.25">
      <c r="A71" s="3"/>
      <c r="B71" s="53" t="s">
        <v>300</v>
      </c>
      <c r="C71" s="54" t="s">
        <v>301</v>
      </c>
      <c r="D71" s="53" t="s">
        <v>300</v>
      </c>
      <c r="E71" s="54" t="s">
        <v>301</v>
      </c>
      <c r="F71" s="53" t="s">
        <v>300</v>
      </c>
      <c r="G71" s="54" t="s">
        <v>301</v>
      </c>
      <c r="H71" s="53" t="s">
        <v>300</v>
      </c>
      <c r="I71" s="54" t="s">
        <v>301</v>
      </c>
      <c r="J71" s="53" t="s">
        <v>300</v>
      </c>
      <c r="K71" s="54" t="s">
        <v>301</v>
      </c>
      <c r="L71" s="53" t="s">
        <v>300</v>
      </c>
      <c r="M71" s="54" t="s">
        <v>301</v>
      </c>
      <c r="N71" s="53" t="s">
        <v>300</v>
      </c>
      <c r="O71" s="54" t="s">
        <v>301</v>
      </c>
      <c r="P71" s="53" t="s">
        <v>300</v>
      </c>
      <c r="Q71" s="54" t="s">
        <v>301</v>
      </c>
      <c r="R71" s="53" t="s">
        <v>300</v>
      </c>
      <c r="S71" s="54" t="s">
        <v>301</v>
      </c>
      <c r="T71" s="53" t="s">
        <v>300</v>
      </c>
      <c r="U71" s="54" t="s">
        <v>301</v>
      </c>
      <c r="V71" s="53" t="s">
        <v>300</v>
      </c>
      <c r="W71" s="54" t="s">
        <v>301</v>
      </c>
      <c r="X71" s="53" t="s">
        <v>300</v>
      </c>
      <c r="Y71" s="54" t="s">
        <v>301</v>
      </c>
      <c r="Z71" s="53" t="s">
        <v>300</v>
      </c>
      <c r="AA71" s="54" t="s">
        <v>301</v>
      </c>
      <c r="AB71" s="53" t="s">
        <v>300</v>
      </c>
      <c r="AC71" s="54" t="s">
        <v>301</v>
      </c>
      <c r="AD71" s="53" t="s">
        <v>300</v>
      </c>
      <c r="AE71" s="54" t="s">
        <v>301</v>
      </c>
      <c r="AF71" s="53" t="s">
        <v>300</v>
      </c>
      <c r="AG71" s="54" t="s">
        <v>301</v>
      </c>
      <c r="AH71" s="53" t="s">
        <v>300</v>
      </c>
      <c r="AI71" s="54" t="s">
        <v>301</v>
      </c>
      <c r="AJ71" s="53" t="s">
        <v>300</v>
      </c>
      <c r="AK71" s="54" t="s">
        <v>301</v>
      </c>
      <c r="AL71" s="53" t="s">
        <v>300</v>
      </c>
      <c r="AM71" s="54" t="s">
        <v>301</v>
      </c>
      <c r="AN71" s="53" t="s">
        <v>300</v>
      </c>
      <c r="AO71" s="54" t="s">
        <v>301</v>
      </c>
      <c r="AP71" s="53" t="s">
        <v>300</v>
      </c>
      <c r="AQ71" s="54" t="s">
        <v>301</v>
      </c>
      <c r="AR71" s="53" t="s">
        <v>300</v>
      </c>
      <c r="AS71" s="54" t="s">
        <v>301</v>
      </c>
      <c r="AT71" s="53" t="s">
        <v>300</v>
      </c>
      <c r="AU71" s="54" t="s">
        <v>301</v>
      </c>
      <c r="AV71" s="53" t="s">
        <v>300</v>
      </c>
      <c r="AW71" s="54" t="s">
        <v>301</v>
      </c>
      <c r="AX71" s="53" t="s">
        <v>300</v>
      </c>
      <c r="AY71" s="54" t="s">
        <v>301</v>
      </c>
      <c r="AZ71" s="53" t="s">
        <v>300</v>
      </c>
      <c r="BA71" s="54" t="s">
        <v>301</v>
      </c>
      <c r="BB71" s="53" t="s">
        <v>300</v>
      </c>
      <c r="BC71" s="54" t="s">
        <v>301</v>
      </c>
      <c r="BD71" s="53" t="s">
        <v>300</v>
      </c>
      <c r="BE71" s="54" t="s">
        <v>301</v>
      </c>
      <c r="BF71" s="53" t="s">
        <v>300</v>
      </c>
      <c r="BG71" s="54" t="s">
        <v>301</v>
      </c>
      <c r="BH71" s="53" t="s">
        <v>300</v>
      </c>
      <c r="BI71" s="54" t="s">
        <v>301</v>
      </c>
      <c r="BJ71" s="53" t="s">
        <v>300</v>
      </c>
      <c r="BK71" s="54" t="s">
        <v>301</v>
      </c>
      <c r="BL71" s="104" t="s">
        <v>300</v>
      </c>
      <c r="BM71" s="105" t="s">
        <v>301</v>
      </c>
    </row>
    <row r="72" spans="1:65" x14ac:dyDescent="0.25">
      <c r="A72" s="20" t="s">
        <v>280</v>
      </c>
      <c r="B72" s="76"/>
      <c r="C72" s="76"/>
      <c r="D72" s="76"/>
      <c r="E72" s="76"/>
      <c r="F72" s="91">
        <v>617408</v>
      </c>
      <c r="G72" s="91">
        <v>1094456</v>
      </c>
      <c r="H72" s="91">
        <v>78320</v>
      </c>
      <c r="I72" s="91">
        <v>177269</v>
      </c>
      <c r="J72" s="76"/>
      <c r="K72" s="76"/>
      <c r="L72" s="91">
        <v>12</v>
      </c>
      <c r="M72" s="91">
        <v>29</v>
      </c>
      <c r="N72" s="76"/>
      <c r="O72" s="76"/>
      <c r="P72" s="76"/>
      <c r="Q72" s="76"/>
      <c r="R72" s="91">
        <v>39070.17</v>
      </c>
      <c r="S72" s="91">
        <v>55998.17</v>
      </c>
      <c r="T72" s="91"/>
      <c r="U72" s="91"/>
      <c r="V72" s="91">
        <v>28856</v>
      </c>
      <c r="W72" s="91">
        <v>162902</v>
      </c>
      <c r="X72" s="91">
        <v>5957</v>
      </c>
      <c r="Y72" s="91">
        <v>37160</v>
      </c>
      <c r="Z72" s="91">
        <v>20149</v>
      </c>
      <c r="AA72" s="91">
        <v>103608</v>
      </c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91">
        <v>59263.98</v>
      </c>
      <c r="AM72" s="91">
        <v>159120.06</v>
      </c>
      <c r="AN72" s="76"/>
      <c r="AO72" s="76"/>
      <c r="AP72" s="76"/>
      <c r="AQ72" s="76"/>
      <c r="AR72" s="76">
        <v>70275</v>
      </c>
      <c r="AS72" s="76">
        <v>167289</v>
      </c>
      <c r="AT72" s="76"/>
      <c r="AU72" s="76"/>
      <c r="AV72" s="91">
        <v>52656</v>
      </c>
      <c r="AW72" s="91">
        <v>230425</v>
      </c>
      <c r="AX72" s="76"/>
      <c r="AY72" s="76"/>
      <c r="AZ72" s="76"/>
      <c r="BA72" s="76"/>
      <c r="BB72" s="91">
        <v>32</v>
      </c>
      <c r="BC72" s="91">
        <v>149</v>
      </c>
      <c r="BD72" s="91">
        <v>24290</v>
      </c>
      <c r="BE72" s="91">
        <v>186474</v>
      </c>
      <c r="BF72" s="91">
        <v>5647</v>
      </c>
      <c r="BG72" s="91">
        <v>114234</v>
      </c>
      <c r="BH72" s="91">
        <v>23317</v>
      </c>
      <c r="BI72" s="91">
        <v>99798</v>
      </c>
      <c r="BJ72" s="91">
        <v>14994</v>
      </c>
      <c r="BK72" s="91">
        <v>56750</v>
      </c>
      <c r="BL72" s="68">
        <f t="shared" ref="BL72:BL78" si="12">SUM(B72+D72+F72+H72+J72+L72+N72+P72+R72+T72+V72+X72+Z72+AB72+AD72+AF72+AH72+AJ72+AL72+AN72+AP72+AR72+AT72+AV72+AX72+AZ72+BB72+BD72+BF72+BH72+BJ72)</f>
        <v>1040247.15</v>
      </c>
      <c r="BM72" s="68">
        <f t="shared" ref="BM72:BM78" si="13">SUM(C72+E72+G72+I72+K72+M72+O72+Q72+S72+U72+W72+Y72+AA72+AC72+AE72+AG72+AI72+AK72+AM72+AO72+AQ72+AS72+AU72+AW72+AY72+BA72+BC72+BE72+BG72+BI72+BK72)</f>
        <v>2645661.23</v>
      </c>
    </row>
    <row r="73" spans="1:65" x14ac:dyDescent="0.25">
      <c r="A73" s="20" t="s">
        <v>281</v>
      </c>
      <c r="B73" s="76"/>
      <c r="C73" s="76"/>
      <c r="D73" s="76"/>
      <c r="E73" s="76"/>
      <c r="F73" s="91">
        <v>0</v>
      </c>
      <c r="G73" s="91">
        <v>0</v>
      </c>
      <c r="H73" s="91"/>
      <c r="I73" s="91">
        <v>0</v>
      </c>
      <c r="J73" s="76"/>
      <c r="K73" s="76"/>
      <c r="L73" s="91"/>
      <c r="M73" s="91"/>
      <c r="N73" s="76"/>
      <c r="O73" s="76"/>
      <c r="P73" s="76"/>
      <c r="Q73" s="76"/>
      <c r="R73" s="91"/>
      <c r="S73" s="91"/>
      <c r="T73" s="91">
        <v>30</v>
      </c>
      <c r="U73" s="91">
        <v>732</v>
      </c>
      <c r="V73" s="91"/>
      <c r="W73" s="91"/>
      <c r="X73" s="91"/>
      <c r="Y73" s="91"/>
      <c r="Z73" s="91"/>
      <c r="AA73" s="91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91"/>
      <c r="AM73" s="91"/>
      <c r="AN73" s="76"/>
      <c r="AO73" s="76"/>
      <c r="AP73" s="76"/>
      <c r="AQ73" s="76"/>
      <c r="AR73" s="76"/>
      <c r="AS73" s="76"/>
      <c r="AT73" s="76"/>
      <c r="AU73" s="76"/>
      <c r="AV73" s="91"/>
      <c r="AW73" s="91"/>
      <c r="AX73" s="76"/>
      <c r="AY73" s="76"/>
      <c r="AZ73" s="76"/>
      <c r="BA73" s="76"/>
      <c r="BB73" s="91"/>
      <c r="BC73" s="91"/>
      <c r="BD73" s="91">
        <v>0</v>
      </c>
      <c r="BE73" s="91">
        <v>46</v>
      </c>
      <c r="BF73" s="91">
        <v>345</v>
      </c>
      <c r="BG73" s="91">
        <v>368</v>
      </c>
      <c r="BH73" s="91"/>
      <c r="BI73" s="91"/>
      <c r="BJ73" s="91"/>
      <c r="BK73" s="91"/>
      <c r="BL73" s="68">
        <f t="shared" si="12"/>
        <v>375</v>
      </c>
      <c r="BM73" s="68">
        <f t="shared" si="13"/>
        <v>1146</v>
      </c>
    </row>
    <row r="74" spans="1:65" x14ac:dyDescent="0.25">
      <c r="A74" s="20" t="s">
        <v>282</v>
      </c>
      <c r="B74" s="76"/>
      <c r="C74" s="76"/>
      <c r="D74" s="76"/>
      <c r="E74" s="76"/>
      <c r="F74" s="91">
        <v>202952</v>
      </c>
      <c r="G74" s="91">
        <v>513702</v>
      </c>
      <c r="H74" s="91">
        <v>-62179</v>
      </c>
      <c r="I74" s="91">
        <v>-137551</v>
      </c>
      <c r="J74" s="76"/>
      <c r="K74" s="76"/>
      <c r="L74" s="91">
        <v>10</v>
      </c>
      <c r="M74" s="91">
        <v>25</v>
      </c>
      <c r="N74" s="76"/>
      <c r="O74" s="76"/>
      <c r="P74" s="76"/>
      <c r="Q74" s="76"/>
      <c r="R74" s="91">
        <v>30005.56</v>
      </c>
      <c r="S74" s="91">
        <v>42718.8</v>
      </c>
      <c r="T74" s="91">
        <v>14</v>
      </c>
      <c r="U74" s="91">
        <v>335</v>
      </c>
      <c r="V74" s="91">
        <v>-21479</v>
      </c>
      <c r="W74" s="91">
        <v>-126185</v>
      </c>
      <c r="X74" s="91">
        <v>4302</v>
      </c>
      <c r="Y74" s="91">
        <v>28963</v>
      </c>
      <c r="Z74" s="91">
        <v>15113</v>
      </c>
      <c r="AA74" s="91">
        <v>77768</v>
      </c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91">
        <v>2762.3</v>
      </c>
      <c r="AM74" s="91">
        <v>13859.66</v>
      </c>
      <c r="AN74" s="76"/>
      <c r="AO74" s="76"/>
      <c r="AP74" s="76"/>
      <c r="AQ74" s="76"/>
      <c r="AR74" s="76">
        <v>51097</v>
      </c>
      <c r="AS74" s="76">
        <v>117785</v>
      </c>
      <c r="AT74" s="76"/>
      <c r="AU74" s="76"/>
      <c r="AV74" s="91">
        <v>40960</v>
      </c>
      <c r="AW74" s="91">
        <v>179036</v>
      </c>
      <c r="AX74" s="76"/>
      <c r="AY74" s="76"/>
      <c r="AZ74" s="76"/>
      <c r="BA74" s="76"/>
      <c r="BB74" s="91">
        <v>-35</v>
      </c>
      <c r="BC74" s="91">
        <v>33</v>
      </c>
      <c r="BD74" s="91">
        <v>741</v>
      </c>
      <c r="BE74" s="91">
        <v>27631</v>
      </c>
      <c r="BF74" s="91">
        <v>3148</v>
      </c>
      <c r="BG74" s="91">
        <v>28146</v>
      </c>
      <c r="BH74" s="91">
        <v>-8180</v>
      </c>
      <c r="BI74" s="91">
        <v>21074</v>
      </c>
      <c r="BJ74" s="91">
        <v>11692</v>
      </c>
      <c r="BK74" s="91">
        <v>44244</v>
      </c>
      <c r="BL74" s="68">
        <f t="shared" si="12"/>
        <v>270923.86</v>
      </c>
      <c r="BM74" s="68">
        <f t="shared" si="13"/>
        <v>831584.46</v>
      </c>
    </row>
    <row r="75" spans="1:65" s="7" customFormat="1" x14ac:dyDescent="0.25">
      <c r="A75" s="3" t="s">
        <v>283</v>
      </c>
      <c r="B75" s="10"/>
      <c r="C75" s="10"/>
      <c r="D75" s="10"/>
      <c r="E75" s="10"/>
      <c r="F75" s="10">
        <v>414456</v>
      </c>
      <c r="G75" s="10">
        <v>580755</v>
      </c>
      <c r="H75" s="10">
        <v>16141</v>
      </c>
      <c r="I75" s="10">
        <v>39718</v>
      </c>
      <c r="J75" s="10"/>
      <c r="K75" s="10"/>
      <c r="L75" s="10">
        <v>2</v>
      </c>
      <c r="M75" s="10">
        <v>4</v>
      </c>
      <c r="N75" s="10"/>
      <c r="O75" s="10"/>
      <c r="P75" s="10"/>
      <c r="Q75" s="10"/>
      <c r="R75" s="10">
        <v>9064.61</v>
      </c>
      <c r="S75" s="10">
        <v>13279.37</v>
      </c>
      <c r="T75" s="10">
        <v>16</v>
      </c>
      <c r="U75" s="10">
        <v>397</v>
      </c>
      <c r="V75" s="10">
        <v>7377</v>
      </c>
      <c r="W75" s="10">
        <v>36717</v>
      </c>
      <c r="X75" s="10">
        <v>1655</v>
      </c>
      <c r="Y75" s="10">
        <v>8197</v>
      </c>
      <c r="Z75" s="10">
        <v>5036</v>
      </c>
      <c r="AA75" s="10">
        <v>25840</v>
      </c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>
        <v>56501.68</v>
      </c>
      <c r="AM75" s="10">
        <v>145260.4</v>
      </c>
      <c r="AN75" s="10"/>
      <c r="AO75" s="10"/>
      <c r="AP75" s="10"/>
      <c r="AQ75" s="10"/>
      <c r="AR75" s="10">
        <v>19178</v>
      </c>
      <c r="AS75" s="10">
        <v>49504</v>
      </c>
      <c r="AT75" s="10"/>
      <c r="AU75" s="10"/>
      <c r="AV75" s="10">
        <v>11696</v>
      </c>
      <c r="AW75" s="10">
        <v>51389</v>
      </c>
      <c r="AX75" s="10"/>
      <c r="AY75" s="10"/>
      <c r="AZ75" s="10"/>
      <c r="BA75" s="10"/>
      <c r="BB75" s="10">
        <v>67</v>
      </c>
      <c r="BC75" s="10">
        <v>116</v>
      </c>
      <c r="BD75" s="10">
        <v>23549</v>
      </c>
      <c r="BE75" s="10">
        <v>158890</v>
      </c>
      <c r="BF75" s="10">
        <v>2843</v>
      </c>
      <c r="BG75" s="10">
        <v>86455</v>
      </c>
      <c r="BH75" s="10">
        <v>31497</v>
      </c>
      <c r="BI75" s="10">
        <v>78724</v>
      </c>
      <c r="BJ75" s="10">
        <v>3302</v>
      </c>
      <c r="BK75" s="10">
        <v>12506</v>
      </c>
      <c r="BL75" s="63">
        <f t="shared" si="12"/>
        <v>602381.29</v>
      </c>
      <c r="BM75" s="63">
        <f t="shared" si="13"/>
        <v>1287751.77</v>
      </c>
    </row>
    <row r="76" spans="1:65" x14ac:dyDescent="0.25">
      <c r="A76" s="20" t="s">
        <v>284</v>
      </c>
      <c r="B76" s="76"/>
      <c r="C76" s="76"/>
      <c r="D76" s="76"/>
      <c r="E76" s="76"/>
      <c r="F76" s="91">
        <v>788439</v>
      </c>
      <c r="G76" s="91">
        <v>788439</v>
      </c>
      <c r="H76" s="91">
        <v>18619</v>
      </c>
      <c r="I76" s="91">
        <v>18619</v>
      </c>
      <c r="J76" s="76"/>
      <c r="K76" s="76"/>
      <c r="L76" s="91">
        <v>589</v>
      </c>
      <c r="M76" s="91">
        <v>589</v>
      </c>
      <c r="N76" s="76"/>
      <c r="O76" s="76"/>
      <c r="P76" s="76"/>
      <c r="Q76" s="76"/>
      <c r="R76" s="91">
        <v>12043.32</v>
      </c>
      <c r="S76" s="91">
        <v>12043.32</v>
      </c>
      <c r="T76" s="91">
        <v>490</v>
      </c>
      <c r="U76" s="91">
        <v>490</v>
      </c>
      <c r="V76" s="91">
        <v>51519</v>
      </c>
      <c r="W76" s="91">
        <v>51519</v>
      </c>
      <c r="X76" s="91">
        <v>21763</v>
      </c>
      <c r="Y76" s="91">
        <v>21763</v>
      </c>
      <c r="Z76" s="91">
        <v>-3763</v>
      </c>
      <c r="AA76" s="91">
        <v>12438</v>
      </c>
      <c r="AB76" s="76"/>
      <c r="AC76" s="76"/>
      <c r="AD76" s="76"/>
      <c r="AE76" s="76"/>
      <c r="AF76" s="91">
        <v>3866</v>
      </c>
      <c r="AG76" s="91">
        <v>3866</v>
      </c>
      <c r="AH76" s="76"/>
      <c r="AI76" s="76"/>
      <c r="AJ76" s="76"/>
      <c r="AK76" s="76"/>
      <c r="AL76" s="91">
        <v>11620.54</v>
      </c>
      <c r="AM76" s="91">
        <v>11620.54</v>
      </c>
      <c r="AN76" s="76"/>
      <c r="AO76" s="76"/>
      <c r="AP76" s="76"/>
      <c r="AQ76" s="76"/>
      <c r="AR76" s="76">
        <v>85138</v>
      </c>
      <c r="AS76" s="76">
        <v>86138</v>
      </c>
      <c r="AT76" s="76"/>
      <c r="AU76" s="76"/>
      <c r="AV76" s="91">
        <v>51115</v>
      </c>
      <c r="AW76" s="91">
        <v>51115</v>
      </c>
      <c r="AX76" s="76"/>
      <c r="AY76" s="76">
        <v>4</v>
      </c>
      <c r="AZ76" s="76"/>
      <c r="BA76" s="76"/>
      <c r="BB76" s="91">
        <v>2617</v>
      </c>
      <c r="BC76" s="91">
        <v>2617</v>
      </c>
      <c r="BD76" s="91">
        <v>27916</v>
      </c>
      <c r="BE76" s="91">
        <v>27916</v>
      </c>
      <c r="BF76" s="91">
        <v>5618</v>
      </c>
      <c r="BG76" s="91">
        <v>31150</v>
      </c>
      <c r="BH76" s="91">
        <v>-15386</v>
      </c>
      <c r="BI76" s="91">
        <v>-15386</v>
      </c>
      <c r="BJ76" s="91">
        <v>-2823</v>
      </c>
      <c r="BK76" s="91">
        <v>11309</v>
      </c>
      <c r="BL76" s="68">
        <f t="shared" si="12"/>
        <v>1059380.8599999999</v>
      </c>
      <c r="BM76" s="68">
        <f t="shared" si="13"/>
        <v>1116249.8599999999</v>
      </c>
    </row>
    <row r="77" spans="1:65" ht="15" customHeight="1" x14ac:dyDescent="0.25">
      <c r="A77" s="20" t="s">
        <v>285</v>
      </c>
      <c r="B77" s="76"/>
      <c r="C77" s="76"/>
      <c r="D77" s="76"/>
      <c r="E77" s="76"/>
      <c r="F77" s="91">
        <v>1056794</v>
      </c>
      <c r="G77" s="91">
        <v>709118</v>
      </c>
      <c r="H77" s="91">
        <v>28968</v>
      </c>
      <c r="I77" s="91">
        <v>29127</v>
      </c>
      <c r="J77" s="76"/>
      <c r="K77" s="76"/>
      <c r="L77" s="91">
        <v>593</v>
      </c>
      <c r="M77" s="91">
        <v>593</v>
      </c>
      <c r="N77" s="76"/>
      <c r="O77" s="76"/>
      <c r="P77" s="76"/>
      <c r="Q77" s="76"/>
      <c r="R77" s="91">
        <v>18076.990000000002</v>
      </c>
      <c r="S77" s="91">
        <v>9332.81</v>
      </c>
      <c r="T77" s="91">
        <v>965</v>
      </c>
      <c r="U77" s="91">
        <v>1557</v>
      </c>
      <c r="V77" s="91">
        <v>-43697</v>
      </c>
      <c r="W77" s="91">
        <v>-42681</v>
      </c>
      <c r="X77" s="91">
        <v>22706</v>
      </c>
      <c r="Y77" s="91">
        <v>6194</v>
      </c>
      <c r="Z77" s="91"/>
      <c r="AA77" s="91">
        <v>24616</v>
      </c>
      <c r="AB77" s="76"/>
      <c r="AC77" s="76"/>
      <c r="AD77" s="76"/>
      <c r="AE77" s="76"/>
      <c r="AF77" s="91">
        <v>-2966</v>
      </c>
      <c r="AG77" s="91">
        <v>-2966</v>
      </c>
      <c r="AH77" s="76"/>
      <c r="AI77" s="76"/>
      <c r="AJ77" s="76"/>
      <c r="AK77" s="76"/>
      <c r="AL77" s="91">
        <v>23532.22</v>
      </c>
      <c r="AM77" s="91">
        <v>102908.98</v>
      </c>
      <c r="AN77" s="76"/>
      <c r="AO77" s="76"/>
      <c r="AP77" s="76"/>
      <c r="AQ77" s="76"/>
      <c r="AR77" s="76">
        <v>91289</v>
      </c>
      <c r="AS77" s="76">
        <v>48286</v>
      </c>
      <c r="AT77" s="76"/>
      <c r="AU77" s="76"/>
      <c r="AV77" s="91">
        <v>39260</v>
      </c>
      <c r="AW77" s="91">
        <v>47887</v>
      </c>
      <c r="AX77" s="76"/>
      <c r="AY77" s="76">
        <v>4</v>
      </c>
      <c r="AZ77" s="76"/>
      <c r="BA77" s="76"/>
      <c r="BB77" s="91">
        <v>7116</v>
      </c>
      <c r="BC77" s="91">
        <v>12139</v>
      </c>
      <c r="BD77" s="91">
        <v>33019</v>
      </c>
      <c r="BE77" s="91">
        <v>114302</v>
      </c>
      <c r="BF77" s="91">
        <v>0</v>
      </c>
      <c r="BG77" s="91">
        <v>61839</v>
      </c>
      <c r="BH77" s="91">
        <v>74121</v>
      </c>
      <c r="BI77" s="91">
        <v>74121</v>
      </c>
      <c r="BJ77" s="91"/>
      <c r="BK77" s="91">
        <v>21175</v>
      </c>
      <c r="BL77" s="68">
        <f t="shared" si="12"/>
        <v>1349777.21</v>
      </c>
      <c r="BM77" s="68">
        <f t="shared" si="13"/>
        <v>1217552.79</v>
      </c>
    </row>
    <row r="78" spans="1:65" s="7" customFormat="1" x14ac:dyDescent="0.25">
      <c r="A78" s="3" t="s">
        <v>286</v>
      </c>
      <c r="B78" s="10"/>
      <c r="C78" s="10"/>
      <c r="D78" s="10"/>
      <c r="E78" s="10"/>
      <c r="F78" s="10">
        <v>146101</v>
      </c>
      <c r="G78" s="10">
        <v>660075</v>
      </c>
      <c r="H78" s="10">
        <v>5792</v>
      </c>
      <c r="I78" s="10">
        <v>29209</v>
      </c>
      <c r="J78" s="10"/>
      <c r="K78" s="10"/>
      <c r="L78" s="10">
        <v>-2</v>
      </c>
      <c r="M78" s="10">
        <v>0</v>
      </c>
      <c r="N78" s="10"/>
      <c r="O78" s="10"/>
      <c r="P78" s="10"/>
      <c r="Q78" s="10"/>
      <c r="R78" s="10">
        <v>3030.94</v>
      </c>
      <c r="S78" s="10">
        <v>15989.88</v>
      </c>
      <c r="T78" s="10">
        <v>-459</v>
      </c>
      <c r="U78" s="10">
        <v>-670</v>
      </c>
      <c r="V78" s="10">
        <v>15199</v>
      </c>
      <c r="W78" s="10">
        <v>45556</v>
      </c>
      <c r="X78" s="10">
        <v>712</v>
      </c>
      <c r="Y78" s="10">
        <v>12683</v>
      </c>
      <c r="Z78" s="10">
        <v>1273</v>
      </c>
      <c r="AA78" s="10">
        <v>13662</v>
      </c>
      <c r="AB78" s="10"/>
      <c r="AC78" s="10"/>
      <c r="AD78" s="10"/>
      <c r="AE78" s="10"/>
      <c r="AF78" s="10">
        <v>900</v>
      </c>
      <c r="AG78" s="10">
        <v>900</v>
      </c>
      <c r="AH78" s="10"/>
      <c r="AI78" s="10"/>
      <c r="AJ78" s="10"/>
      <c r="AK78" s="10"/>
      <c r="AL78" s="10">
        <v>44589.99</v>
      </c>
      <c r="AM78" s="10">
        <v>53971.95</v>
      </c>
      <c r="AN78" s="10"/>
      <c r="AO78" s="10"/>
      <c r="AP78" s="10"/>
      <c r="AQ78" s="10"/>
      <c r="AR78" s="10">
        <v>13027</v>
      </c>
      <c r="AS78" s="10">
        <v>86356</v>
      </c>
      <c r="AT78" s="10"/>
      <c r="AU78" s="10"/>
      <c r="AV78" s="10">
        <v>23551</v>
      </c>
      <c r="AW78" s="10">
        <v>54617</v>
      </c>
      <c r="AX78" s="10"/>
      <c r="AY78" s="10"/>
      <c r="AZ78" s="10"/>
      <c r="BA78" s="10"/>
      <c r="BB78" s="10">
        <v>-4432</v>
      </c>
      <c r="BC78" s="10">
        <v>-9406</v>
      </c>
      <c r="BD78" s="10">
        <v>18446</v>
      </c>
      <c r="BE78" s="10">
        <v>72503</v>
      </c>
      <c r="BF78" s="10">
        <v>8461</v>
      </c>
      <c r="BG78" s="10">
        <v>55766</v>
      </c>
      <c r="BH78" s="10">
        <v>-58010</v>
      </c>
      <c r="BI78" s="10">
        <v>-10783</v>
      </c>
      <c r="BJ78" s="10">
        <v>479</v>
      </c>
      <c r="BK78" s="10">
        <v>2640</v>
      </c>
      <c r="BL78" s="63">
        <f t="shared" si="12"/>
        <v>218658.93</v>
      </c>
      <c r="BM78" s="63">
        <f t="shared" si="13"/>
        <v>1083069.83</v>
      </c>
    </row>
    <row r="79" spans="1:65" x14ac:dyDescent="0.25">
      <c r="A79" s="28"/>
    </row>
    <row r="80" spans="1:65" x14ac:dyDescent="0.25">
      <c r="A80" s="29" t="s">
        <v>188</v>
      </c>
    </row>
    <row r="81" spans="1:65" x14ac:dyDescent="0.25">
      <c r="A81" s="3" t="s">
        <v>0</v>
      </c>
      <c r="B81" s="154" t="s">
        <v>1</v>
      </c>
      <c r="C81" s="155"/>
      <c r="D81" s="154" t="s">
        <v>234</v>
      </c>
      <c r="E81" s="155"/>
      <c r="F81" s="154" t="s">
        <v>2</v>
      </c>
      <c r="G81" s="155"/>
      <c r="H81" s="154" t="s">
        <v>3</v>
      </c>
      <c r="I81" s="155"/>
      <c r="J81" s="154" t="s">
        <v>243</v>
      </c>
      <c r="K81" s="155"/>
      <c r="L81" s="154" t="s">
        <v>235</v>
      </c>
      <c r="M81" s="155"/>
      <c r="N81" s="154" t="s">
        <v>5</v>
      </c>
      <c r="O81" s="155"/>
      <c r="P81" s="154" t="s">
        <v>4</v>
      </c>
      <c r="Q81" s="155"/>
      <c r="R81" s="154" t="s">
        <v>6</v>
      </c>
      <c r="S81" s="155"/>
      <c r="T81" s="154" t="s">
        <v>246</v>
      </c>
      <c r="U81" s="155"/>
      <c r="V81" s="154" t="s">
        <v>7</v>
      </c>
      <c r="W81" s="155"/>
      <c r="X81" s="154" t="s">
        <v>8</v>
      </c>
      <c r="Y81" s="155"/>
      <c r="Z81" s="154" t="s">
        <v>9</v>
      </c>
      <c r="AA81" s="155"/>
      <c r="AB81" s="154" t="s">
        <v>242</v>
      </c>
      <c r="AC81" s="155"/>
      <c r="AD81" s="154" t="s">
        <v>10</v>
      </c>
      <c r="AE81" s="155"/>
      <c r="AF81" s="154" t="s">
        <v>11</v>
      </c>
      <c r="AG81" s="155"/>
      <c r="AH81" s="154" t="s">
        <v>236</v>
      </c>
      <c r="AI81" s="155"/>
      <c r="AJ81" s="154" t="s">
        <v>245</v>
      </c>
      <c r="AK81" s="155"/>
      <c r="AL81" s="154" t="s">
        <v>12</v>
      </c>
      <c r="AM81" s="155"/>
      <c r="AN81" s="154" t="s">
        <v>237</v>
      </c>
      <c r="AO81" s="155"/>
      <c r="AP81" s="154" t="s">
        <v>238</v>
      </c>
      <c r="AQ81" s="155"/>
      <c r="AR81" s="154" t="s">
        <v>241</v>
      </c>
      <c r="AS81" s="155"/>
      <c r="AT81" s="154" t="s">
        <v>13</v>
      </c>
      <c r="AU81" s="155"/>
      <c r="AV81" s="154" t="s">
        <v>14</v>
      </c>
      <c r="AW81" s="155"/>
      <c r="AX81" s="154" t="s">
        <v>15</v>
      </c>
      <c r="AY81" s="155"/>
      <c r="AZ81" s="154" t="s">
        <v>16</v>
      </c>
      <c r="BA81" s="155"/>
      <c r="BB81" s="154" t="s">
        <v>17</v>
      </c>
      <c r="BC81" s="155"/>
      <c r="BD81" s="154" t="s">
        <v>239</v>
      </c>
      <c r="BE81" s="155"/>
      <c r="BF81" s="154" t="s">
        <v>240</v>
      </c>
      <c r="BG81" s="155"/>
      <c r="BH81" s="154" t="s">
        <v>18</v>
      </c>
      <c r="BI81" s="155"/>
      <c r="BJ81" s="154" t="s">
        <v>19</v>
      </c>
      <c r="BK81" s="155"/>
      <c r="BL81" s="156" t="s">
        <v>20</v>
      </c>
      <c r="BM81" s="157"/>
    </row>
    <row r="82" spans="1:65" ht="30" x14ac:dyDescent="0.25">
      <c r="A82" s="3"/>
      <c r="B82" s="53" t="s">
        <v>300</v>
      </c>
      <c r="C82" s="54" t="s">
        <v>301</v>
      </c>
      <c r="D82" s="53" t="s">
        <v>300</v>
      </c>
      <c r="E82" s="54" t="s">
        <v>301</v>
      </c>
      <c r="F82" s="53" t="s">
        <v>300</v>
      </c>
      <c r="G82" s="54" t="s">
        <v>301</v>
      </c>
      <c r="H82" s="53" t="s">
        <v>300</v>
      </c>
      <c r="I82" s="54" t="s">
        <v>301</v>
      </c>
      <c r="J82" s="53" t="s">
        <v>300</v>
      </c>
      <c r="K82" s="54" t="s">
        <v>301</v>
      </c>
      <c r="L82" s="53" t="s">
        <v>300</v>
      </c>
      <c r="M82" s="54" t="s">
        <v>301</v>
      </c>
      <c r="N82" s="53" t="s">
        <v>300</v>
      </c>
      <c r="O82" s="54" t="s">
        <v>301</v>
      </c>
      <c r="P82" s="53" t="s">
        <v>300</v>
      </c>
      <c r="Q82" s="54" t="s">
        <v>301</v>
      </c>
      <c r="R82" s="53" t="s">
        <v>300</v>
      </c>
      <c r="S82" s="54" t="s">
        <v>301</v>
      </c>
      <c r="T82" s="53" t="s">
        <v>300</v>
      </c>
      <c r="U82" s="54" t="s">
        <v>301</v>
      </c>
      <c r="V82" s="53" t="s">
        <v>300</v>
      </c>
      <c r="W82" s="54" t="s">
        <v>301</v>
      </c>
      <c r="X82" s="53" t="s">
        <v>300</v>
      </c>
      <c r="Y82" s="54" t="s">
        <v>301</v>
      </c>
      <c r="Z82" s="53" t="s">
        <v>300</v>
      </c>
      <c r="AA82" s="54" t="s">
        <v>301</v>
      </c>
      <c r="AB82" s="53" t="s">
        <v>300</v>
      </c>
      <c r="AC82" s="54" t="s">
        <v>301</v>
      </c>
      <c r="AD82" s="53" t="s">
        <v>300</v>
      </c>
      <c r="AE82" s="54" t="s">
        <v>301</v>
      </c>
      <c r="AF82" s="53" t="s">
        <v>300</v>
      </c>
      <c r="AG82" s="54" t="s">
        <v>301</v>
      </c>
      <c r="AH82" s="53" t="s">
        <v>300</v>
      </c>
      <c r="AI82" s="54" t="s">
        <v>301</v>
      </c>
      <c r="AJ82" s="53" t="s">
        <v>300</v>
      </c>
      <c r="AK82" s="54" t="s">
        <v>301</v>
      </c>
      <c r="AL82" s="53" t="s">
        <v>300</v>
      </c>
      <c r="AM82" s="54" t="s">
        <v>301</v>
      </c>
      <c r="AN82" s="53" t="s">
        <v>300</v>
      </c>
      <c r="AO82" s="54" t="s">
        <v>301</v>
      </c>
      <c r="AP82" s="53" t="s">
        <v>300</v>
      </c>
      <c r="AQ82" s="54" t="s">
        <v>301</v>
      </c>
      <c r="AR82" s="53" t="s">
        <v>300</v>
      </c>
      <c r="AS82" s="54" t="s">
        <v>301</v>
      </c>
      <c r="AT82" s="53" t="s">
        <v>300</v>
      </c>
      <c r="AU82" s="54" t="s">
        <v>301</v>
      </c>
      <c r="AV82" s="53" t="s">
        <v>300</v>
      </c>
      <c r="AW82" s="54" t="s">
        <v>301</v>
      </c>
      <c r="AX82" s="53" t="s">
        <v>300</v>
      </c>
      <c r="AY82" s="54" t="s">
        <v>301</v>
      </c>
      <c r="AZ82" s="53" t="s">
        <v>300</v>
      </c>
      <c r="BA82" s="54" t="s">
        <v>301</v>
      </c>
      <c r="BB82" s="53" t="s">
        <v>300</v>
      </c>
      <c r="BC82" s="54" t="s">
        <v>301</v>
      </c>
      <c r="BD82" s="53" t="s">
        <v>300</v>
      </c>
      <c r="BE82" s="54" t="s">
        <v>301</v>
      </c>
      <c r="BF82" s="53" t="s">
        <v>300</v>
      </c>
      <c r="BG82" s="54" t="s">
        <v>301</v>
      </c>
      <c r="BH82" s="53" t="s">
        <v>300</v>
      </c>
      <c r="BI82" s="54" t="s">
        <v>301</v>
      </c>
      <c r="BJ82" s="53" t="s">
        <v>300</v>
      </c>
      <c r="BK82" s="54" t="s">
        <v>301</v>
      </c>
      <c r="BL82" s="104" t="s">
        <v>300</v>
      </c>
      <c r="BM82" s="105" t="s">
        <v>301</v>
      </c>
    </row>
    <row r="83" spans="1:65" x14ac:dyDescent="0.25">
      <c r="A83" s="20" t="s">
        <v>280</v>
      </c>
      <c r="B83" s="76"/>
      <c r="C83" s="76"/>
      <c r="D83" s="76"/>
      <c r="E83" s="76"/>
      <c r="F83" s="76"/>
      <c r="G83" s="76"/>
      <c r="H83" s="91">
        <v>327</v>
      </c>
      <c r="I83" s="91">
        <v>5028</v>
      </c>
      <c r="J83" s="76"/>
      <c r="K83" s="76"/>
      <c r="L83" s="76"/>
      <c r="M83" s="76"/>
      <c r="N83" s="76"/>
      <c r="O83" s="76"/>
      <c r="P83" s="76"/>
      <c r="Q83" s="76"/>
      <c r="R83" s="91">
        <v>55.19</v>
      </c>
      <c r="S83" s="91">
        <v>235.56</v>
      </c>
      <c r="T83" s="76"/>
      <c r="U83" s="76"/>
      <c r="V83" s="91">
        <v>-2</v>
      </c>
      <c r="W83" s="91">
        <v>23</v>
      </c>
      <c r="X83" s="91">
        <v>261</v>
      </c>
      <c r="Y83" s="91">
        <v>3832</v>
      </c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91">
        <v>3488.91</v>
      </c>
      <c r="AM83" s="91">
        <v>5525.45</v>
      </c>
      <c r="AN83" s="76"/>
      <c r="AO83" s="76"/>
      <c r="AP83" s="76"/>
      <c r="AQ83" s="76"/>
      <c r="AR83" s="76"/>
      <c r="AS83" s="76">
        <v>419</v>
      </c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91">
        <v>9184</v>
      </c>
      <c r="BE83" s="91">
        <v>19604</v>
      </c>
      <c r="BF83" s="91">
        <v>2650</v>
      </c>
      <c r="BG83" s="91">
        <v>4901</v>
      </c>
      <c r="BH83" s="91">
        <v>1489</v>
      </c>
      <c r="BI83" s="91">
        <v>5007</v>
      </c>
      <c r="BJ83" s="76"/>
      <c r="BK83" s="76"/>
      <c r="BL83" s="68">
        <f t="shared" ref="BL83:BL89" si="14">SUM(B83+D83+F83+H83+J83+L83+N83+P83+R83+T83+V83+X83+Z83+AB83+AD83+AF83+AH83+AJ83+AL83+AN83+AP83+AR83+AT83+AV83+AX83+AZ83+BB83+BD83+BF83+BH83+BJ83)</f>
        <v>17453.099999999999</v>
      </c>
      <c r="BM83" s="68">
        <f t="shared" ref="BM83:BM89" si="15">SUM(C83+E83+G83+I83+K83+M83+O83+Q83+S83+U83+W83+Y83+AA83+AC83+AE83+AG83+AI83+AK83+AM83+AO83+AQ83+AS83+AU83+AW83+AY83+BA83+BC83+BE83+BG83+BI83+BK83)</f>
        <v>44575.01</v>
      </c>
    </row>
    <row r="84" spans="1:65" x14ac:dyDescent="0.25">
      <c r="A84" s="20" t="s">
        <v>281</v>
      </c>
      <c r="B84" s="76"/>
      <c r="C84" s="76"/>
      <c r="D84" s="76"/>
      <c r="E84" s="76"/>
      <c r="F84" s="76"/>
      <c r="G84" s="76"/>
      <c r="H84" s="91"/>
      <c r="I84" s="91">
        <v>0</v>
      </c>
      <c r="J84" s="76"/>
      <c r="K84" s="76"/>
      <c r="L84" s="76"/>
      <c r="M84" s="76"/>
      <c r="N84" s="76"/>
      <c r="O84" s="76"/>
      <c r="P84" s="76"/>
      <c r="Q84" s="76"/>
      <c r="R84" s="91"/>
      <c r="S84" s="91"/>
      <c r="T84" s="76"/>
      <c r="U84" s="76"/>
      <c r="V84" s="91">
        <v>-61</v>
      </c>
      <c r="W84" s="91">
        <v>-46</v>
      </c>
      <c r="X84" s="91">
        <v>97</v>
      </c>
      <c r="Y84" s="91">
        <v>748</v>
      </c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91">
        <v>1081.1600000000001</v>
      </c>
      <c r="AM84" s="91">
        <v>4175.32</v>
      </c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91"/>
      <c r="BC84" s="91"/>
      <c r="BD84" s="91">
        <v>3033</v>
      </c>
      <c r="BE84" s="91">
        <v>8430</v>
      </c>
      <c r="BF84" s="91">
        <v>965</v>
      </c>
      <c r="BG84" s="91">
        <v>8369</v>
      </c>
      <c r="BH84" s="91">
        <v>110</v>
      </c>
      <c r="BI84" s="91">
        <v>951</v>
      </c>
      <c r="BJ84" s="76"/>
      <c r="BK84" s="76"/>
      <c r="BL84" s="68">
        <f t="shared" si="14"/>
        <v>5225.16</v>
      </c>
      <c r="BM84" s="68">
        <f t="shared" si="15"/>
        <v>22627.32</v>
      </c>
    </row>
    <row r="85" spans="1:65" x14ac:dyDescent="0.25">
      <c r="A85" s="20" t="s">
        <v>282</v>
      </c>
      <c r="B85" s="76"/>
      <c r="C85" s="76"/>
      <c r="D85" s="76"/>
      <c r="E85" s="76"/>
      <c r="F85" s="76"/>
      <c r="G85" s="76"/>
      <c r="H85" s="91">
        <v>-250</v>
      </c>
      <c r="I85" s="91">
        <v>-4518</v>
      </c>
      <c r="J85" s="76"/>
      <c r="K85" s="76"/>
      <c r="L85" s="76"/>
      <c r="M85" s="76"/>
      <c r="N85" s="76"/>
      <c r="O85" s="76"/>
      <c r="P85" s="76"/>
      <c r="Q85" s="76"/>
      <c r="R85" s="91">
        <v>2.76</v>
      </c>
      <c r="S85" s="91">
        <v>11.78</v>
      </c>
      <c r="T85" s="76"/>
      <c r="U85" s="76"/>
      <c r="V85" s="91">
        <v>1</v>
      </c>
      <c r="W85" s="91">
        <v>-23</v>
      </c>
      <c r="X85" s="91">
        <v>122</v>
      </c>
      <c r="Y85" s="91">
        <v>2786</v>
      </c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91">
        <v>5074.96</v>
      </c>
      <c r="AM85" s="91">
        <v>5218.68</v>
      </c>
      <c r="AN85" s="76"/>
      <c r="AO85" s="76"/>
      <c r="AP85" s="76"/>
      <c r="AQ85" s="76"/>
      <c r="AR85" s="76"/>
      <c r="AS85" s="76">
        <v>419</v>
      </c>
      <c r="AT85" s="76"/>
      <c r="AU85" s="76"/>
      <c r="AV85" s="76"/>
      <c r="AW85" s="76"/>
      <c r="AX85" s="76"/>
      <c r="AY85" s="76"/>
      <c r="AZ85" s="76"/>
      <c r="BA85" s="76"/>
      <c r="BB85" s="91"/>
      <c r="BC85" s="91"/>
      <c r="BD85" s="91">
        <v>5002</v>
      </c>
      <c r="BE85" s="91">
        <v>13821</v>
      </c>
      <c r="BF85" s="91">
        <v>2309</v>
      </c>
      <c r="BG85" s="91">
        <v>6840</v>
      </c>
      <c r="BH85" s="91">
        <v>1219</v>
      </c>
      <c r="BI85" s="91">
        <v>4359</v>
      </c>
      <c r="BJ85" s="76"/>
      <c r="BK85" s="76"/>
      <c r="BL85" s="68">
        <f t="shared" si="14"/>
        <v>13480.720000000001</v>
      </c>
      <c r="BM85" s="68">
        <f t="shared" si="15"/>
        <v>28914.46</v>
      </c>
    </row>
    <row r="86" spans="1:65" s="7" customFormat="1" x14ac:dyDescent="0.25">
      <c r="A86" s="3" t="s">
        <v>283</v>
      </c>
      <c r="B86" s="10"/>
      <c r="C86" s="10"/>
      <c r="D86" s="10"/>
      <c r="E86" s="10"/>
      <c r="F86" s="10"/>
      <c r="G86" s="10"/>
      <c r="H86" s="10">
        <v>77</v>
      </c>
      <c r="I86" s="10">
        <v>510</v>
      </c>
      <c r="J86" s="10"/>
      <c r="K86" s="10"/>
      <c r="L86" s="10"/>
      <c r="M86" s="10"/>
      <c r="N86" s="10"/>
      <c r="O86" s="10"/>
      <c r="P86" s="10"/>
      <c r="Q86" s="10"/>
      <c r="R86" s="10">
        <v>52.43</v>
      </c>
      <c r="S86" s="10">
        <v>223.78</v>
      </c>
      <c r="T86" s="10"/>
      <c r="U86" s="10"/>
      <c r="V86" s="10">
        <v>-61</v>
      </c>
      <c r="W86" s="10">
        <v>-47</v>
      </c>
      <c r="X86" s="10">
        <v>236</v>
      </c>
      <c r="Y86" s="10">
        <v>1794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>
        <v>-504.88</v>
      </c>
      <c r="AM86" s="10">
        <v>4482.09</v>
      </c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>
        <v>7214</v>
      </c>
      <c r="BE86" s="10">
        <v>14213</v>
      </c>
      <c r="BF86" s="10">
        <v>1306</v>
      </c>
      <c r="BG86" s="10">
        <v>6429</v>
      </c>
      <c r="BH86" s="10">
        <v>380</v>
      </c>
      <c r="BI86" s="10">
        <v>1599</v>
      </c>
      <c r="BJ86" s="10"/>
      <c r="BK86" s="10"/>
      <c r="BL86" s="63">
        <f t="shared" si="14"/>
        <v>8699.5499999999993</v>
      </c>
      <c r="BM86" s="63">
        <f t="shared" si="15"/>
        <v>29203.87</v>
      </c>
    </row>
    <row r="87" spans="1:65" x14ac:dyDescent="0.25">
      <c r="A87" s="20" t="s">
        <v>284</v>
      </c>
      <c r="B87" s="76"/>
      <c r="C87" s="76"/>
      <c r="D87" s="76"/>
      <c r="E87" s="76"/>
      <c r="F87" s="76"/>
      <c r="G87" s="76"/>
      <c r="H87" s="91">
        <v>1359</v>
      </c>
      <c r="I87" s="91">
        <v>1359</v>
      </c>
      <c r="J87" s="76"/>
      <c r="K87" s="76"/>
      <c r="L87" s="76"/>
      <c r="M87" s="76"/>
      <c r="N87" s="76"/>
      <c r="O87" s="76"/>
      <c r="P87" s="76"/>
      <c r="Q87" s="76"/>
      <c r="R87" s="91">
        <v>215.15</v>
      </c>
      <c r="S87" s="91">
        <v>215.15</v>
      </c>
      <c r="T87" s="76"/>
      <c r="U87" s="76"/>
      <c r="V87" s="91">
        <v>708</v>
      </c>
      <c r="W87" s="91">
        <v>708</v>
      </c>
      <c r="X87" s="91">
        <v>5719</v>
      </c>
      <c r="Y87" s="91">
        <v>5719</v>
      </c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91">
        <v>15918.67</v>
      </c>
      <c r="AM87" s="91">
        <v>15918.67</v>
      </c>
      <c r="AN87" s="76"/>
      <c r="AO87" s="76"/>
      <c r="AP87" s="76"/>
      <c r="AQ87" s="76"/>
      <c r="AR87" s="76">
        <v>1866</v>
      </c>
      <c r="AS87" s="76">
        <v>1866</v>
      </c>
      <c r="AT87" s="76"/>
      <c r="AU87" s="76"/>
      <c r="AV87" s="91">
        <v>2</v>
      </c>
      <c r="AW87" s="91">
        <v>2</v>
      </c>
      <c r="AX87" s="76"/>
      <c r="AY87" s="76"/>
      <c r="AZ87" s="76"/>
      <c r="BA87" s="76"/>
      <c r="BB87" s="91">
        <v>2</v>
      </c>
      <c r="BC87" s="91">
        <v>2</v>
      </c>
      <c r="BD87" s="91">
        <v>5615</v>
      </c>
      <c r="BE87" s="91">
        <v>5615</v>
      </c>
      <c r="BF87" s="91">
        <v>1636</v>
      </c>
      <c r="BG87" s="91">
        <v>12011</v>
      </c>
      <c r="BH87" s="91">
        <v>5711</v>
      </c>
      <c r="BI87" s="91">
        <v>5711</v>
      </c>
      <c r="BJ87" s="76"/>
      <c r="BK87" s="76"/>
      <c r="BL87" s="68">
        <f t="shared" si="14"/>
        <v>38751.82</v>
      </c>
      <c r="BM87" s="68">
        <f t="shared" si="15"/>
        <v>49126.82</v>
      </c>
    </row>
    <row r="88" spans="1:65" ht="15" customHeight="1" x14ac:dyDescent="0.25">
      <c r="A88" s="20" t="s">
        <v>285</v>
      </c>
      <c r="B88" s="76"/>
      <c r="C88" s="76"/>
      <c r="D88" s="76"/>
      <c r="E88" s="76"/>
      <c r="F88" s="76"/>
      <c r="G88" s="76"/>
      <c r="H88" s="91">
        <v>1429</v>
      </c>
      <c r="I88" s="91">
        <v>1893</v>
      </c>
      <c r="J88" s="76"/>
      <c r="K88" s="76"/>
      <c r="L88" s="76"/>
      <c r="M88" s="76"/>
      <c r="N88" s="76"/>
      <c r="O88" s="76"/>
      <c r="P88" s="76"/>
      <c r="Q88" s="76"/>
      <c r="R88" s="91">
        <v>172.64</v>
      </c>
      <c r="S88" s="91">
        <v>150.79</v>
      </c>
      <c r="T88" s="76"/>
      <c r="U88" s="76"/>
      <c r="V88" s="91">
        <v>-647</v>
      </c>
      <c r="W88" s="91">
        <v>-869</v>
      </c>
      <c r="X88" s="91">
        <v>5294</v>
      </c>
      <c r="Y88" s="91">
        <v>5093</v>
      </c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91">
        <v>14385.58</v>
      </c>
      <c r="AM88" s="91">
        <v>13015.64</v>
      </c>
      <c r="AN88" s="76"/>
      <c r="AO88" s="76"/>
      <c r="AP88" s="76"/>
      <c r="AQ88" s="76"/>
      <c r="AR88" s="76">
        <v>1178</v>
      </c>
      <c r="AS88" s="76">
        <v>419</v>
      </c>
      <c r="AT88" s="76"/>
      <c r="AU88" s="76"/>
      <c r="AV88" s="91">
        <v>2</v>
      </c>
      <c r="AW88" s="91">
        <v>2</v>
      </c>
      <c r="AX88" s="76"/>
      <c r="AY88" s="76"/>
      <c r="AZ88" s="76"/>
      <c r="BA88" s="76"/>
      <c r="BB88" s="91">
        <v>2</v>
      </c>
      <c r="BC88" s="91">
        <v>24</v>
      </c>
      <c r="BD88" s="91">
        <v>10807</v>
      </c>
      <c r="BE88" s="91">
        <v>13374</v>
      </c>
      <c r="BF88" s="91">
        <v>0</v>
      </c>
      <c r="BG88" s="91">
        <v>11842</v>
      </c>
      <c r="BH88" s="91">
        <v>9156</v>
      </c>
      <c r="BI88" s="91">
        <v>9156</v>
      </c>
      <c r="BJ88" s="76"/>
      <c r="BK88" s="76"/>
      <c r="BL88" s="68">
        <f t="shared" si="14"/>
        <v>41779.22</v>
      </c>
      <c r="BM88" s="68">
        <f t="shared" si="15"/>
        <v>54100.43</v>
      </c>
    </row>
    <row r="89" spans="1:65" s="7" customFormat="1" x14ac:dyDescent="0.25">
      <c r="A89" s="3" t="s">
        <v>286</v>
      </c>
      <c r="B89" s="10"/>
      <c r="C89" s="10"/>
      <c r="D89" s="10"/>
      <c r="E89" s="10"/>
      <c r="F89" s="10"/>
      <c r="G89" s="10"/>
      <c r="H89" s="10">
        <v>7</v>
      </c>
      <c r="I89" s="10">
        <v>-23</v>
      </c>
      <c r="J89" s="10"/>
      <c r="K89" s="10"/>
      <c r="L89" s="10"/>
      <c r="M89" s="10"/>
      <c r="N89" s="10"/>
      <c r="O89" s="10"/>
      <c r="P89" s="10"/>
      <c r="Q89" s="10"/>
      <c r="R89" s="10">
        <v>94.94</v>
      </c>
      <c r="S89" s="10">
        <v>288.14</v>
      </c>
      <c r="T89" s="10"/>
      <c r="U89" s="10"/>
      <c r="V89" s="10"/>
      <c r="W89" s="10">
        <v>-207</v>
      </c>
      <c r="X89" s="10">
        <v>661</v>
      </c>
      <c r="Y89" s="10">
        <v>2420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>
        <v>1028.21</v>
      </c>
      <c r="AM89" s="10">
        <v>7385.13</v>
      </c>
      <c r="AN89" s="10"/>
      <c r="AO89" s="10"/>
      <c r="AP89" s="10"/>
      <c r="AQ89" s="10"/>
      <c r="AR89" s="10">
        <v>688</v>
      </c>
      <c r="AS89" s="10">
        <v>1448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>
        <v>-22</v>
      </c>
      <c r="BD89" s="10">
        <v>2022</v>
      </c>
      <c r="BE89" s="10">
        <v>6454</v>
      </c>
      <c r="BF89" s="10">
        <v>2942</v>
      </c>
      <c r="BG89" s="10">
        <v>6598</v>
      </c>
      <c r="BH89" s="10">
        <v>-3065</v>
      </c>
      <c r="BI89" s="10">
        <v>-1846</v>
      </c>
      <c r="BJ89" s="10"/>
      <c r="BK89" s="10"/>
      <c r="BL89" s="63">
        <f t="shared" si="14"/>
        <v>4378.1499999999996</v>
      </c>
      <c r="BM89" s="63">
        <f t="shared" si="15"/>
        <v>22495.27</v>
      </c>
    </row>
    <row r="90" spans="1:65" x14ac:dyDescent="0.25">
      <c r="A90" s="13"/>
    </row>
    <row r="91" spans="1:65" x14ac:dyDescent="0.25">
      <c r="A91" s="27" t="s">
        <v>189</v>
      </c>
    </row>
    <row r="92" spans="1:65" x14ac:dyDescent="0.25">
      <c r="A92" s="3" t="s">
        <v>0</v>
      </c>
      <c r="B92" s="154" t="s">
        <v>1</v>
      </c>
      <c r="C92" s="155"/>
      <c r="D92" s="154" t="s">
        <v>234</v>
      </c>
      <c r="E92" s="155"/>
      <c r="F92" s="154" t="s">
        <v>2</v>
      </c>
      <c r="G92" s="155"/>
      <c r="H92" s="154" t="s">
        <v>3</v>
      </c>
      <c r="I92" s="155"/>
      <c r="J92" s="154" t="s">
        <v>243</v>
      </c>
      <c r="K92" s="155"/>
      <c r="L92" s="154" t="s">
        <v>235</v>
      </c>
      <c r="M92" s="155"/>
      <c r="N92" s="154" t="s">
        <v>5</v>
      </c>
      <c r="O92" s="155"/>
      <c r="P92" s="154" t="s">
        <v>4</v>
      </c>
      <c r="Q92" s="155"/>
      <c r="R92" s="154" t="s">
        <v>6</v>
      </c>
      <c r="S92" s="155"/>
      <c r="T92" s="154" t="s">
        <v>246</v>
      </c>
      <c r="U92" s="155"/>
      <c r="V92" s="154" t="s">
        <v>7</v>
      </c>
      <c r="W92" s="155"/>
      <c r="X92" s="154" t="s">
        <v>8</v>
      </c>
      <c r="Y92" s="155"/>
      <c r="Z92" s="154" t="s">
        <v>9</v>
      </c>
      <c r="AA92" s="155"/>
      <c r="AB92" s="154" t="s">
        <v>242</v>
      </c>
      <c r="AC92" s="155"/>
      <c r="AD92" s="154" t="s">
        <v>10</v>
      </c>
      <c r="AE92" s="155"/>
      <c r="AF92" s="154" t="s">
        <v>11</v>
      </c>
      <c r="AG92" s="155"/>
      <c r="AH92" s="154" t="s">
        <v>236</v>
      </c>
      <c r="AI92" s="155"/>
      <c r="AJ92" s="154" t="s">
        <v>245</v>
      </c>
      <c r="AK92" s="155"/>
      <c r="AL92" s="154" t="s">
        <v>12</v>
      </c>
      <c r="AM92" s="155"/>
      <c r="AN92" s="154" t="s">
        <v>237</v>
      </c>
      <c r="AO92" s="155"/>
      <c r="AP92" s="154" t="s">
        <v>238</v>
      </c>
      <c r="AQ92" s="155"/>
      <c r="AR92" s="154" t="s">
        <v>241</v>
      </c>
      <c r="AS92" s="155"/>
      <c r="AT92" s="154" t="s">
        <v>13</v>
      </c>
      <c r="AU92" s="155"/>
      <c r="AV92" s="154" t="s">
        <v>14</v>
      </c>
      <c r="AW92" s="155"/>
      <c r="AX92" s="154" t="s">
        <v>15</v>
      </c>
      <c r="AY92" s="155"/>
      <c r="AZ92" s="154" t="s">
        <v>16</v>
      </c>
      <c r="BA92" s="155"/>
      <c r="BB92" s="154" t="s">
        <v>17</v>
      </c>
      <c r="BC92" s="155"/>
      <c r="BD92" s="154" t="s">
        <v>239</v>
      </c>
      <c r="BE92" s="155"/>
      <c r="BF92" s="154" t="s">
        <v>240</v>
      </c>
      <c r="BG92" s="155"/>
      <c r="BH92" s="154" t="s">
        <v>18</v>
      </c>
      <c r="BI92" s="155"/>
      <c r="BJ92" s="154" t="s">
        <v>19</v>
      </c>
      <c r="BK92" s="155"/>
      <c r="BL92" s="156" t="s">
        <v>20</v>
      </c>
      <c r="BM92" s="157"/>
    </row>
    <row r="93" spans="1:65" ht="30" x14ac:dyDescent="0.25">
      <c r="A93" s="3"/>
      <c r="B93" s="53" t="s">
        <v>300</v>
      </c>
      <c r="C93" s="54" t="s">
        <v>301</v>
      </c>
      <c r="D93" s="53" t="s">
        <v>300</v>
      </c>
      <c r="E93" s="54" t="s">
        <v>301</v>
      </c>
      <c r="F93" s="53" t="s">
        <v>300</v>
      </c>
      <c r="G93" s="54" t="s">
        <v>301</v>
      </c>
      <c r="H93" s="53" t="s">
        <v>300</v>
      </c>
      <c r="I93" s="54" t="s">
        <v>301</v>
      </c>
      <c r="J93" s="53" t="s">
        <v>300</v>
      </c>
      <c r="K93" s="54" t="s">
        <v>301</v>
      </c>
      <c r="L93" s="53" t="s">
        <v>300</v>
      </c>
      <c r="M93" s="54" t="s">
        <v>301</v>
      </c>
      <c r="N93" s="53" t="s">
        <v>300</v>
      </c>
      <c r="O93" s="54" t="s">
        <v>301</v>
      </c>
      <c r="P93" s="53" t="s">
        <v>300</v>
      </c>
      <c r="Q93" s="54" t="s">
        <v>301</v>
      </c>
      <c r="R93" s="53" t="s">
        <v>300</v>
      </c>
      <c r="S93" s="54" t="s">
        <v>301</v>
      </c>
      <c r="T93" s="53" t="s">
        <v>300</v>
      </c>
      <c r="U93" s="54" t="s">
        <v>301</v>
      </c>
      <c r="V93" s="53" t="s">
        <v>300</v>
      </c>
      <c r="W93" s="54" t="s">
        <v>301</v>
      </c>
      <c r="X93" s="53" t="s">
        <v>300</v>
      </c>
      <c r="Y93" s="54" t="s">
        <v>301</v>
      </c>
      <c r="Z93" s="53" t="s">
        <v>300</v>
      </c>
      <c r="AA93" s="54" t="s">
        <v>301</v>
      </c>
      <c r="AB93" s="53" t="s">
        <v>300</v>
      </c>
      <c r="AC93" s="54" t="s">
        <v>301</v>
      </c>
      <c r="AD93" s="53" t="s">
        <v>300</v>
      </c>
      <c r="AE93" s="54" t="s">
        <v>301</v>
      </c>
      <c r="AF93" s="53" t="s">
        <v>300</v>
      </c>
      <c r="AG93" s="54" t="s">
        <v>301</v>
      </c>
      <c r="AH93" s="53" t="s">
        <v>300</v>
      </c>
      <c r="AI93" s="54" t="s">
        <v>301</v>
      </c>
      <c r="AJ93" s="53" t="s">
        <v>300</v>
      </c>
      <c r="AK93" s="54" t="s">
        <v>301</v>
      </c>
      <c r="AL93" s="53" t="s">
        <v>300</v>
      </c>
      <c r="AM93" s="54" t="s">
        <v>301</v>
      </c>
      <c r="AN93" s="53" t="s">
        <v>300</v>
      </c>
      <c r="AO93" s="54" t="s">
        <v>301</v>
      </c>
      <c r="AP93" s="53" t="s">
        <v>300</v>
      </c>
      <c r="AQ93" s="54" t="s">
        <v>301</v>
      </c>
      <c r="AR93" s="53" t="s">
        <v>300</v>
      </c>
      <c r="AS93" s="54" t="s">
        <v>301</v>
      </c>
      <c r="AT93" s="53" t="s">
        <v>300</v>
      </c>
      <c r="AU93" s="54" t="s">
        <v>301</v>
      </c>
      <c r="AV93" s="53" t="s">
        <v>300</v>
      </c>
      <c r="AW93" s="54" t="s">
        <v>301</v>
      </c>
      <c r="AX93" s="53" t="s">
        <v>300</v>
      </c>
      <c r="AY93" s="54" t="s">
        <v>301</v>
      </c>
      <c r="AZ93" s="53" t="s">
        <v>300</v>
      </c>
      <c r="BA93" s="54" t="s">
        <v>301</v>
      </c>
      <c r="BB93" s="53" t="s">
        <v>300</v>
      </c>
      <c r="BC93" s="54" t="s">
        <v>301</v>
      </c>
      <c r="BD93" s="53" t="s">
        <v>300</v>
      </c>
      <c r="BE93" s="54" t="s">
        <v>301</v>
      </c>
      <c r="BF93" s="53" t="s">
        <v>300</v>
      </c>
      <c r="BG93" s="54" t="s">
        <v>301</v>
      </c>
      <c r="BH93" s="53" t="s">
        <v>300</v>
      </c>
      <c r="BI93" s="54" t="s">
        <v>301</v>
      </c>
      <c r="BJ93" s="53" t="s">
        <v>300</v>
      </c>
      <c r="BK93" s="54" t="s">
        <v>301</v>
      </c>
      <c r="BL93" s="104" t="s">
        <v>300</v>
      </c>
      <c r="BM93" s="105" t="s">
        <v>301</v>
      </c>
    </row>
    <row r="94" spans="1:65" x14ac:dyDescent="0.25">
      <c r="A94" s="20" t="s">
        <v>280</v>
      </c>
      <c r="B94" s="76">
        <f>B105-B83-B72-B61-B39-B28-B17-B6-B50</f>
        <v>1191</v>
      </c>
      <c r="C94" s="76">
        <f t="shared" ref="C94:AE94" si="16">C105-C83-C72-C61-C39-C28-C17-C6-C50</f>
        <v>3836</v>
      </c>
      <c r="D94" s="76">
        <f t="shared" si="16"/>
        <v>55</v>
      </c>
      <c r="E94" s="76">
        <f t="shared" si="16"/>
        <v>162</v>
      </c>
      <c r="F94" s="76">
        <f t="shared" si="16"/>
        <v>0</v>
      </c>
      <c r="G94" s="76">
        <f t="shared" si="16"/>
        <v>0</v>
      </c>
      <c r="H94" s="76">
        <f t="shared" si="16"/>
        <v>10295</v>
      </c>
      <c r="I94" s="76">
        <f t="shared" si="16"/>
        <v>35089</v>
      </c>
      <c r="J94" s="76">
        <f t="shared" si="16"/>
        <v>1361</v>
      </c>
      <c r="K94" s="76">
        <f t="shared" si="16"/>
        <v>2427</v>
      </c>
      <c r="L94" s="76">
        <f t="shared" si="16"/>
        <v>401</v>
      </c>
      <c r="M94" s="76">
        <f t="shared" si="16"/>
        <v>5834</v>
      </c>
      <c r="N94" s="76">
        <f t="shared" si="16"/>
        <v>35255.57</v>
      </c>
      <c r="O94" s="76">
        <f t="shared" si="16"/>
        <v>68720.429999999993</v>
      </c>
      <c r="P94" s="76">
        <f t="shared" si="16"/>
        <v>95.109999999998308</v>
      </c>
      <c r="Q94" s="76">
        <f t="shared" si="16"/>
        <v>263.58000000000357</v>
      </c>
      <c r="R94" s="76">
        <f t="shared" si="16"/>
        <v>4946.7099999999937</v>
      </c>
      <c r="S94" s="76">
        <f t="shared" si="16"/>
        <v>21942.079999999994</v>
      </c>
      <c r="T94" s="76">
        <f t="shared" si="16"/>
        <v>3066</v>
      </c>
      <c r="U94" s="76">
        <f t="shared" si="16"/>
        <v>9444</v>
      </c>
      <c r="V94" s="76">
        <f t="shared" si="16"/>
        <v>4827</v>
      </c>
      <c r="W94" s="76">
        <f t="shared" si="16"/>
        <v>18873</v>
      </c>
      <c r="X94" s="76">
        <f t="shared" si="16"/>
        <v>8507</v>
      </c>
      <c r="Y94" s="76">
        <f t="shared" si="16"/>
        <v>32344</v>
      </c>
      <c r="Z94" s="76">
        <f t="shared" si="16"/>
        <v>6465</v>
      </c>
      <c r="AA94" s="76">
        <f t="shared" si="16"/>
        <v>18540</v>
      </c>
      <c r="AB94" s="76">
        <f t="shared" si="16"/>
        <v>29</v>
      </c>
      <c r="AC94" s="76">
        <f t="shared" si="16"/>
        <v>164</v>
      </c>
      <c r="AD94" s="76">
        <f t="shared" si="16"/>
        <v>650</v>
      </c>
      <c r="AE94" s="76">
        <f t="shared" si="16"/>
        <v>4722</v>
      </c>
      <c r="AF94" s="76">
        <f t="shared" ref="AF94:BK94" si="17">AF105-AF83-AF72-AF61-AF39-AF28-AF17-AF6-AF50</f>
        <v>37</v>
      </c>
      <c r="AG94" s="76">
        <f t="shared" si="17"/>
        <v>94</v>
      </c>
      <c r="AH94" s="76">
        <f t="shared" si="17"/>
        <v>3.5600000000013097</v>
      </c>
      <c r="AI94" s="76">
        <f t="shared" si="17"/>
        <v>39.119999999995343</v>
      </c>
      <c r="AJ94" s="76">
        <f t="shared" si="17"/>
        <v>1</v>
      </c>
      <c r="AK94" s="76">
        <f t="shared" si="17"/>
        <v>0</v>
      </c>
      <c r="AL94" s="76">
        <f t="shared" si="17"/>
        <v>3891.4500000000698</v>
      </c>
      <c r="AM94" s="76">
        <f t="shared" si="17"/>
        <v>46837.949999999953</v>
      </c>
      <c r="AN94" s="76">
        <f t="shared" si="17"/>
        <v>85</v>
      </c>
      <c r="AO94" s="76">
        <f t="shared" si="17"/>
        <v>481</v>
      </c>
      <c r="AP94" s="76">
        <f t="shared" si="17"/>
        <v>1064</v>
      </c>
      <c r="AQ94" s="76">
        <f t="shared" si="17"/>
        <v>1876</v>
      </c>
      <c r="AR94" s="76">
        <f t="shared" si="17"/>
        <v>1789</v>
      </c>
      <c r="AS94" s="76">
        <f t="shared" si="17"/>
        <v>6202</v>
      </c>
      <c r="AT94" s="76">
        <f t="shared" si="17"/>
        <v>153</v>
      </c>
      <c r="AU94" s="76">
        <f t="shared" si="17"/>
        <v>3616</v>
      </c>
      <c r="AV94" s="76">
        <f t="shared" ref="AV94:AW94" si="18">AV105-AV83-AV72-AV61-AV39-AV28-AV17-AV6-AV50</f>
        <v>516</v>
      </c>
      <c r="AW94" s="76">
        <f t="shared" si="18"/>
        <v>2578</v>
      </c>
      <c r="AX94" s="76">
        <f t="shared" si="17"/>
        <v>144</v>
      </c>
      <c r="AY94" s="76">
        <f t="shared" si="17"/>
        <v>467</v>
      </c>
      <c r="AZ94" s="76">
        <f t="shared" si="17"/>
        <v>21</v>
      </c>
      <c r="BA94" s="76">
        <f t="shared" si="17"/>
        <v>96</v>
      </c>
      <c r="BB94" s="76">
        <f t="shared" si="17"/>
        <v>8426</v>
      </c>
      <c r="BC94" s="76">
        <f t="shared" si="17"/>
        <v>22875</v>
      </c>
      <c r="BD94" s="76">
        <f t="shared" si="17"/>
        <v>27443</v>
      </c>
      <c r="BE94" s="76">
        <f t="shared" si="17"/>
        <v>85904</v>
      </c>
      <c r="BF94" s="76">
        <f t="shared" si="17"/>
        <v>8299</v>
      </c>
      <c r="BG94" s="76">
        <f t="shared" si="17"/>
        <v>24245</v>
      </c>
      <c r="BH94" s="76">
        <f t="shared" si="17"/>
        <v>10450</v>
      </c>
      <c r="BI94" s="76">
        <f t="shared" si="17"/>
        <v>47559</v>
      </c>
      <c r="BJ94" s="76">
        <f t="shared" si="17"/>
        <v>779</v>
      </c>
      <c r="BK94" s="76">
        <f t="shared" si="17"/>
        <v>1655</v>
      </c>
      <c r="BL94" s="68">
        <f t="shared" ref="BL94:BL100" si="19">SUM(B94+D94+F94+H94+J94+L94+N94+P94+R94+T94+V94+X94+Z94+AB94+AD94+AF94+AH94+AJ94+AL94+AN94+AP94+AR94+AT94+AV94+AX94+AZ94+BB94+BD94+BF94+BH94+BJ94)</f>
        <v>140246.40000000005</v>
      </c>
      <c r="BM94" s="68">
        <f t="shared" ref="BM94:BM100" si="20">SUM(C94+E94+G94+I94+K94+M94+O94+Q94+S94+U94+W94+Y94+AA94+AC94+AE94+AG94+AI94+AK94+AM94+AO94+AQ94+AS94+AU94+AW94+AY94+BA94+BC94+BE94+BG94+BI94+BK94)</f>
        <v>466886.15999999992</v>
      </c>
    </row>
    <row r="95" spans="1:65" x14ac:dyDescent="0.25">
      <c r="A95" s="20" t="s">
        <v>281</v>
      </c>
      <c r="B95" s="76">
        <f t="shared" ref="B95:AE95" si="21">B106-B84-B73-B62-B40-B29-B18-B7-B51</f>
        <v>0</v>
      </c>
      <c r="C95" s="76">
        <f t="shared" si="21"/>
        <v>0</v>
      </c>
      <c r="D95" s="76">
        <f t="shared" si="21"/>
        <v>0</v>
      </c>
      <c r="E95" s="76">
        <f t="shared" si="21"/>
        <v>0</v>
      </c>
      <c r="F95" s="76">
        <f t="shared" si="21"/>
        <v>0</v>
      </c>
      <c r="G95" s="76">
        <f t="shared" si="21"/>
        <v>0</v>
      </c>
      <c r="H95" s="76">
        <f t="shared" si="21"/>
        <v>0</v>
      </c>
      <c r="I95" s="76">
        <f t="shared" si="21"/>
        <v>0</v>
      </c>
      <c r="J95" s="76">
        <f t="shared" si="21"/>
        <v>0</v>
      </c>
      <c r="K95" s="76">
        <f t="shared" si="21"/>
        <v>0</v>
      </c>
      <c r="L95" s="76">
        <f t="shared" si="21"/>
        <v>-1</v>
      </c>
      <c r="M95" s="76">
        <f t="shared" si="21"/>
        <v>-1</v>
      </c>
      <c r="N95" s="76">
        <f t="shared" si="21"/>
        <v>0</v>
      </c>
      <c r="O95" s="76">
        <f t="shared" si="21"/>
        <v>0</v>
      </c>
      <c r="P95" s="76">
        <f t="shared" si="21"/>
        <v>-9.9999999999837996E-3</v>
      </c>
      <c r="Q95" s="76">
        <f t="shared" si="21"/>
        <v>0</v>
      </c>
      <c r="R95" s="76">
        <f t="shared" si="21"/>
        <v>0</v>
      </c>
      <c r="S95" s="76">
        <f t="shared" si="21"/>
        <v>2.2737367544323206E-13</v>
      </c>
      <c r="T95" s="76">
        <f t="shared" si="21"/>
        <v>0</v>
      </c>
      <c r="U95" s="76">
        <f t="shared" si="21"/>
        <v>0</v>
      </c>
      <c r="V95" s="76">
        <f t="shared" si="21"/>
        <v>32</v>
      </c>
      <c r="W95" s="76">
        <f t="shared" si="21"/>
        <v>32</v>
      </c>
      <c r="X95" s="76">
        <f t="shared" si="21"/>
        <v>0</v>
      </c>
      <c r="Y95" s="76">
        <f t="shared" si="21"/>
        <v>0</v>
      </c>
      <c r="Z95" s="76">
        <f t="shared" si="21"/>
        <v>0</v>
      </c>
      <c r="AA95" s="76">
        <f t="shared" si="21"/>
        <v>0</v>
      </c>
      <c r="AB95" s="76">
        <f t="shared" si="21"/>
        <v>1.02</v>
      </c>
      <c r="AC95" s="76">
        <f t="shared" si="21"/>
        <v>1</v>
      </c>
      <c r="AD95" s="76">
        <f t="shared" si="21"/>
        <v>0</v>
      </c>
      <c r="AE95" s="76">
        <f t="shared" si="21"/>
        <v>1</v>
      </c>
      <c r="AF95" s="76">
        <f t="shared" ref="AF95:BK95" si="22">AF106-AF84-AF73-AF62-AF40-AF29-AF18-AF7-AF51</f>
        <v>-2</v>
      </c>
      <c r="AG95" s="76">
        <f t="shared" si="22"/>
        <v>0</v>
      </c>
      <c r="AH95" s="76">
        <f t="shared" si="22"/>
        <v>0</v>
      </c>
      <c r="AI95" s="76">
        <f t="shared" si="22"/>
        <v>0</v>
      </c>
      <c r="AJ95" s="76">
        <f t="shared" si="22"/>
        <v>0</v>
      </c>
      <c r="AK95" s="76">
        <f t="shared" si="22"/>
        <v>0</v>
      </c>
      <c r="AL95" s="76">
        <f t="shared" si="22"/>
        <v>1060.8900000000012</v>
      </c>
      <c r="AM95" s="76">
        <f t="shared" si="22"/>
        <v>5166.4400000000023</v>
      </c>
      <c r="AN95" s="76">
        <f t="shared" si="22"/>
        <v>0</v>
      </c>
      <c r="AO95" s="76">
        <f t="shared" si="22"/>
        <v>1</v>
      </c>
      <c r="AP95" s="76">
        <f t="shared" si="22"/>
        <v>10</v>
      </c>
      <c r="AQ95" s="76">
        <f t="shared" si="22"/>
        <v>51</v>
      </c>
      <c r="AR95" s="76">
        <f t="shared" si="22"/>
        <v>0</v>
      </c>
      <c r="AS95" s="76">
        <f t="shared" si="22"/>
        <v>1</v>
      </c>
      <c r="AT95" s="76">
        <f t="shared" si="22"/>
        <v>0</v>
      </c>
      <c r="AU95" s="76">
        <f t="shared" si="22"/>
        <v>53</v>
      </c>
      <c r="AV95" s="76">
        <f t="shared" ref="AV95:AW95" si="23">AV106-AV84-AV73-AV62-AV40-AV29-AV18-AV7-AV51</f>
        <v>0</v>
      </c>
      <c r="AW95" s="76">
        <f t="shared" si="23"/>
        <v>-1</v>
      </c>
      <c r="AX95" s="76">
        <f t="shared" si="22"/>
        <v>0</v>
      </c>
      <c r="AY95" s="76">
        <f t="shared" si="22"/>
        <v>0</v>
      </c>
      <c r="AZ95" s="76">
        <f t="shared" si="22"/>
        <v>0</v>
      </c>
      <c r="BA95" s="76">
        <f t="shared" si="22"/>
        <v>0</v>
      </c>
      <c r="BB95" s="76">
        <f t="shared" si="22"/>
        <v>351</v>
      </c>
      <c r="BC95" s="76">
        <f t="shared" si="22"/>
        <v>485</v>
      </c>
      <c r="BD95" s="76">
        <f t="shared" si="22"/>
        <v>77</v>
      </c>
      <c r="BE95" s="76">
        <f t="shared" si="22"/>
        <v>740</v>
      </c>
      <c r="BF95" s="76">
        <f t="shared" si="22"/>
        <v>83</v>
      </c>
      <c r="BG95" s="76">
        <f t="shared" si="22"/>
        <v>694</v>
      </c>
      <c r="BH95" s="76">
        <f t="shared" si="22"/>
        <v>74</v>
      </c>
      <c r="BI95" s="76">
        <f t="shared" si="22"/>
        <v>1934</v>
      </c>
      <c r="BJ95" s="76">
        <f t="shared" si="22"/>
        <v>0</v>
      </c>
      <c r="BK95" s="76">
        <f t="shared" si="22"/>
        <v>0</v>
      </c>
      <c r="BL95" s="68">
        <f t="shared" si="19"/>
        <v>1685.9000000000012</v>
      </c>
      <c r="BM95" s="68">
        <f t="shared" si="20"/>
        <v>9157.4400000000023</v>
      </c>
    </row>
    <row r="96" spans="1:65" x14ac:dyDescent="0.25">
      <c r="A96" s="20" t="s">
        <v>282</v>
      </c>
      <c r="B96" s="76">
        <f t="shared" ref="B96:AE96" si="24">B107-B85-B74-B63-B41-B30-B19-B8-B52</f>
        <v>691</v>
      </c>
      <c r="C96" s="76">
        <f t="shared" si="24"/>
        <v>2294</v>
      </c>
      <c r="D96" s="76">
        <f t="shared" si="24"/>
        <v>2</v>
      </c>
      <c r="E96" s="76">
        <f t="shared" si="24"/>
        <v>8</v>
      </c>
      <c r="F96" s="76">
        <f t="shared" si="24"/>
        <v>0</v>
      </c>
      <c r="G96" s="76">
        <f t="shared" si="24"/>
        <v>0</v>
      </c>
      <c r="H96" s="76">
        <f t="shared" si="24"/>
        <v>-6037</v>
      </c>
      <c r="I96" s="76">
        <f t="shared" si="24"/>
        <v>-21241</v>
      </c>
      <c r="J96" s="76">
        <f t="shared" si="24"/>
        <v>120</v>
      </c>
      <c r="K96" s="76">
        <f t="shared" si="24"/>
        <v>338</v>
      </c>
      <c r="L96" s="76">
        <f t="shared" si="24"/>
        <v>36</v>
      </c>
      <c r="M96" s="76">
        <f t="shared" si="24"/>
        <v>1568</v>
      </c>
      <c r="N96" s="76">
        <f t="shared" si="24"/>
        <v>9201.94</v>
      </c>
      <c r="O96" s="76">
        <f t="shared" si="24"/>
        <v>18293.54</v>
      </c>
      <c r="P96" s="76">
        <f t="shared" si="24"/>
        <v>8.6400000000000432</v>
      </c>
      <c r="Q96" s="76">
        <f t="shared" si="24"/>
        <v>17.639999999999986</v>
      </c>
      <c r="R96" s="76">
        <f t="shared" si="24"/>
        <v>1549.7699999999927</v>
      </c>
      <c r="S96" s="76">
        <f t="shared" si="24"/>
        <v>10133.62999999999</v>
      </c>
      <c r="T96" s="76">
        <f t="shared" si="24"/>
        <v>951</v>
      </c>
      <c r="U96" s="76">
        <f t="shared" si="24"/>
        <v>2392</v>
      </c>
      <c r="V96" s="76">
        <f t="shared" si="24"/>
        <v>-2434</v>
      </c>
      <c r="W96" s="76">
        <f t="shared" si="24"/>
        <v>-8689</v>
      </c>
      <c r="X96" s="76">
        <f t="shared" si="24"/>
        <v>2191</v>
      </c>
      <c r="Y96" s="76">
        <f t="shared" si="24"/>
        <v>10789</v>
      </c>
      <c r="Z96" s="76">
        <f t="shared" si="24"/>
        <v>1443</v>
      </c>
      <c r="AA96" s="76">
        <f t="shared" si="24"/>
        <v>4347</v>
      </c>
      <c r="AB96" s="76">
        <f t="shared" si="24"/>
        <v>22</v>
      </c>
      <c r="AC96" s="76">
        <f t="shared" si="24"/>
        <v>66</v>
      </c>
      <c r="AD96" s="76">
        <f t="shared" si="24"/>
        <v>131</v>
      </c>
      <c r="AE96" s="76">
        <f t="shared" si="24"/>
        <v>743</v>
      </c>
      <c r="AF96" s="76">
        <f t="shared" ref="AF96:BK96" si="25">AF107-AF85-AF74-AF63-AF41-AF30-AF19-AF8-AF52</f>
        <v>-4</v>
      </c>
      <c r="AG96" s="76">
        <f t="shared" si="25"/>
        <v>-23</v>
      </c>
      <c r="AH96" s="76">
        <f t="shared" si="25"/>
        <v>0.19999999999993179</v>
      </c>
      <c r="AI96" s="76">
        <f t="shared" si="25"/>
        <v>1.6299999999996544</v>
      </c>
      <c r="AJ96" s="76">
        <f t="shared" si="25"/>
        <v>1</v>
      </c>
      <c r="AK96" s="76">
        <f t="shared" si="25"/>
        <v>0</v>
      </c>
      <c r="AL96" s="76">
        <f t="shared" si="25"/>
        <v>1146.1100000000006</v>
      </c>
      <c r="AM96" s="76">
        <f t="shared" si="25"/>
        <v>511.6499999999869</v>
      </c>
      <c r="AN96" s="76">
        <f t="shared" si="25"/>
        <v>-4</v>
      </c>
      <c r="AO96" s="76">
        <f t="shared" si="25"/>
        <v>-24</v>
      </c>
      <c r="AP96" s="76">
        <f t="shared" si="25"/>
        <v>839</v>
      </c>
      <c r="AQ96" s="76">
        <f t="shared" si="25"/>
        <v>1128</v>
      </c>
      <c r="AR96" s="76">
        <f t="shared" si="25"/>
        <v>265</v>
      </c>
      <c r="AS96" s="76">
        <f t="shared" si="25"/>
        <v>1944</v>
      </c>
      <c r="AT96" s="76">
        <f t="shared" si="25"/>
        <v>64</v>
      </c>
      <c r="AU96" s="76">
        <f t="shared" si="25"/>
        <v>2396</v>
      </c>
      <c r="AV96" s="76">
        <f t="shared" ref="AV96:AW96" si="26">AV107-AV85-AV74-AV63-AV41-AV30-AV19-AV8-AV52</f>
        <v>-23</v>
      </c>
      <c r="AW96" s="76">
        <f t="shared" si="26"/>
        <v>459</v>
      </c>
      <c r="AX96" s="76">
        <f t="shared" si="25"/>
        <v>46</v>
      </c>
      <c r="AY96" s="76">
        <f t="shared" si="25"/>
        <v>141</v>
      </c>
      <c r="AZ96" s="76">
        <f t="shared" si="25"/>
        <v>17</v>
      </c>
      <c r="BA96" s="76">
        <f t="shared" si="25"/>
        <v>-491</v>
      </c>
      <c r="BB96" s="76">
        <f t="shared" si="25"/>
        <v>2757</v>
      </c>
      <c r="BC96" s="76">
        <f t="shared" si="25"/>
        <v>7948</v>
      </c>
      <c r="BD96" s="76">
        <f t="shared" si="25"/>
        <v>8731</v>
      </c>
      <c r="BE96" s="76">
        <f t="shared" si="25"/>
        <v>20846</v>
      </c>
      <c r="BF96" s="76">
        <f t="shared" si="25"/>
        <v>1283</v>
      </c>
      <c r="BG96" s="76">
        <f t="shared" si="25"/>
        <v>3268</v>
      </c>
      <c r="BH96" s="76">
        <f t="shared" si="25"/>
        <v>2035</v>
      </c>
      <c r="BI96" s="76">
        <f t="shared" si="25"/>
        <v>12609</v>
      </c>
      <c r="BJ96" s="76">
        <f t="shared" si="25"/>
        <v>291</v>
      </c>
      <c r="BK96" s="76">
        <f t="shared" si="25"/>
        <v>334</v>
      </c>
      <c r="BL96" s="68">
        <f t="shared" si="19"/>
        <v>25320.659999999993</v>
      </c>
      <c r="BM96" s="68">
        <f t="shared" si="20"/>
        <v>72108.089999999982</v>
      </c>
    </row>
    <row r="97" spans="1:65" s="7" customFormat="1" x14ac:dyDescent="0.25">
      <c r="A97" s="3" t="s">
        <v>283</v>
      </c>
      <c r="B97" s="10">
        <f t="shared" ref="B97:AE97" si="27">B108-B86-B75-B64-B42-B31-B20-B9-B53</f>
        <v>500</v>
      </c>
      <c r="C97" s="10">
        <f t="shared" si="27"/>
        <v>1542</v>
      </c>
      <c r="D97" s="10">
        <f t="shared" si="27"/>
        <v>53</v>
      </c>
      <c r="E97" s="10">
        <f t="shared" si="27"/>
        <v>154</v>
      </c>
      <c r="F97" s="10">
        <f t="shared" si="27"/>
        <v>0</v>
      </c>
      <c r="G97" s="10">
        <f t="shared" si="27"/>
        <v>0</v>
      </c>
      <c r="H97" s="10">
        <f t="shared" si="27"/>
        <v>4259</v>
      </c>
      <c r="I97" s="10">
        <f t="shared" si="27"/>
        <v>13849</v>
      </c>
      <c r="J97" s="10">
        <f t="shared" si="27"/>
        <v>1241</v>
      </c>
      <c r="K97" s="10">
        <f t="shared" si="27"/>
        <v>2089</v>
      </c>
      <c r="L97" s="10">
        <f t="shared" si="27"/>
        <v>366</v>
      </c>
      <c r="M97" s="10">
        <f t="shared" si="27"/>
        <v>4266</v>
      </c>
      <c r="N97" s="10">
        <f t="shared" si="27"/>
        <v>24137.87</v>
      </c>
      <c r="O97" s="10">
        <f t="shared" si="27"/>
        <v>43856.17</v>
      </c>
      <c r="P97" s="10">
        <f t="shared" si="27"/>
        <v>86.459999999999582</v>
      </c>
      <c r="Q97" s="10">
        <f t="shared" si="27"/>
        <v>245.94000000000051</v>
      </c>
      <c r="R97" s="10">
        <f t="shared" si="27"/>
        <v>3396.9400000000032</v>
      </c>
      <c r="S97" s="10">
        <f t="shared" si="27"/>
        <v>11808.419999999991</v>
      </c>
      <c r="T97" s="10">
        <f t="shared" si="27"/>
        <v>2115</v>
      </c>
      <c r="U97" s="10">
        <f t="shared" si="27"/>
        <v>7052</v>
      </c>
      <c r="V97" s="10">
        <f t="shared" si="27"/>
        <v>2424</v>
      </c>
      <c r="W97" s="10">
        <f t="shared" si="27"/>
        <v>10215</v>
      </c>
      <c r="X97" s="10">
        <f t="shared" si="27"/>
        <v>6316</v>
      </c>
      <c r="Y97" s="10">
        <f t="shared" si="27"/>
        <v>21555</v>
      </c>
      <c r="Z97" s="10">
        <f t="shared" si="27"/>
        <v>5022</v>
      </c>
      <c r="AA97" s="10">
        <f t="shared" si="27"/>
        <v>14193</v>
      </c>
      <c r="AB97" s="10">
        <f t="shared" si="27"/>
        <v>6</v>
      </c>
      <c r="AC97" s="10">
        <f t="shared" si="27"/>
        <v>99</v>
      </c>
      <c r="AD97" s="10">
        <f t="shared" si="27"/>
        <v>520</v>
      </c>
      <c r="AE97" s="10">
        <f t="shared" si="27"/>
        <v>3979</v>
      </c>
      <c r="AF97" s="10">
        <f t="shared" ref="AF97:BK97" si="28">AF108-AF86-AF75-AF64-AF42-AF31-AF20-AF9-AF53</f>
        <v>32</v>
      </c>
      <c r="AG97" s="10">
        <f t="shared" si="28"/>
        <v>71</v>
      </c>
      <c r="AH97" s="10">
        <f t="shared" si="28"/>
        <v>3.3600000000005821</v>
      </c>
      <c r="AI97" s="10">
        <f t="shared" si="28"/>
        <v>37.479999999995925</v>
      </c>
      <c r="AJ97" s="10">
        <f t="shared" si="28"/>
        <v>0</v>
      </c>
      <c r="AK97" s="10">
        <f t="shared" si="28"/>
        <v>0</v>
      </c>
      <c r="AL97" s="10">
        <f t="shared" si="28"/>
        <v>3806.2099999999627</v>
      </c>
      <c r="AM97" s="10">
        <f t="shared" si="28"/>
        <v>51492.740000000107</v>
      </c>
      <c r="AN97" s="10">
        <f t="shared" si="28"/>
        <v>81</v>
      </c>
      <c r="AO97" s="10">
        <f t="shared" si="28"/>
        <v>457</v>
      </c>
      <c r="AP97" s="10">
        <f t="shared" si="28"/>
        <v>235</v>
      </c>
      <c r="AQ97" s="10">
        <f t="shared" si="28"/>
        <v>799</v>
      </c>
      <c r="AR97" s="10">
        <f t="shared" si="28"/>
        <v>1524</v>
      </c>
      <c r="AS97" s="10">
        <f t="shared" si="28"/>
        <v>4256</v>
      </c>
      <c r="AT97" s="10">
        <f t="shared" si="28"/>
        <v>90</v>
      </c>
      <c r="AU97" s="10">
        <f t="shared" si="28"/>
        <v>1274</v>
      </c>
      <c r="AV97" s="10">
        <f t="shared" ref="AV97:AW99" si="29">AV108-AV86-AV75-AV64-AV42-AV31-AV20-AV9-AV53</f>
        <v>540</v>
      </c>
      <c r="AW97" s="10">
        <f t="shared" si="29"/>
        <v>2119</v>
      </c>
      <c r="AX97" s="10">
        <f t="shared" si="28"/>
        <v>100</v>
      </c>
      <c r="AY97" s="10">
        <f t="shared" si="28"/>
        <v>325</v>
      </c>
      <c r="AZ97" s="10">
        <f t="shared" si="28"/>
        <v>3</v>
      </c>
      <c r="BA97" s="10">
        <f t="shared" si="28"/>
        <v>588</v>
      </c>
      <c r="BB97" s="10">
        <f t="shared" si="28"/>
        <v>11210</v>
      </c>
      <c r="BC97" s="10">
        <f t="shared" si="28"/>
        <v>15408</v>
      </c>
      <c r="BD97" s="10">
        <f t="shared" si="28"/>
        <v>18791</v>
      </c>
      <c r="BE97" s="10">
        <f t="shared" si="28"/>
        <v>65800</v>
      </c>
      <c r="BF97" s="10">
        <f t="shared" si="28"/>
        <v>7099</v>
      </c>
      <c r="BG97" s="10">
        <f t="shared" si="28"/>
        <v>21673</v>
      </c>
      <c r="BH97" s="10">
        <f t="shared" si="28"/>
        <v>8493</v>
      </c>
      <c r="BI97" s="10">
        <f t="shared" si="28"/>
        <v>36884</v>
      </c>
      <c r="BJ97" s="10">
        <f t="shared" si="28"/>
        <v>489</v>
      </c>
      <c r="BK97" s="10">
        <f t="shared" si="28"/>
        <v>1322</v>
      </c>
      <c r="BL97" s="63">
        <f t="shared" si="19"/>
        <v>102939.83999999997</v>
      </c>
      <c r="BM97" s="63">
        <f t="shared" si="20"/>
        <v>337409.75000000012</v>
      </c>
    </row>
    <row r="98" spans="1:65" x14ac:dyDescent="0.25">
      <c r="A98" s="20" t="s">
        <v>284</v>
      </c>
      <c r="B98" s="76">
        <f t="shared" ref="B98:AE98" si="30">B109-B87-B76-B65-B43-B32-B21-B10-B54</f>
        <v>572</v>
      </c>
      <c r="C98" s="76">
        <f t="shared" si="30"/>
        <v>572</v>
      </c>
      <c r="D98" s="76">
        <f t="shared" si="30"/>
        <v>447</v>
      </c>
      <c r="E98" s="76">
        <f t="shared" si="30"/>
        <v>447</v>
      </c>
      <c r="F98" s="76">
        <f t="shared" si="30"/>
        <v>0</v>
      </c>
      <c r="G98" s="76">
        <f t="shared" si="30"/>
        <v>0</v>
      </c>
      <c r="H98" s="76">
        <f t="shared" si="30"/>
        <v>25984</v>
      </c>
      <c r="I98" s="76">
        <f t="shared" si="30"/>
        <v>25984</v>
      </c>
      <c r="J98" s="76">
        <f t="shared" si="30"/>
        <v>3828</v>
      </c>
      <c r="K98" s="76">
        <f t="shared" si="30"/>
        <v>3828</v>
      </c>
      <c r="L98" s="76">
        <f t="shared" si="30"/>
        <v>1501</v>
      </c>
      <c r="M98" s="76">
        <f t="shared" si="30"/>
        <v>1501</v>
      </c>
      <c r="N98" s="76">
        <f t="shared" si="30"/>
        <v>-34191.46</v>
      </c>
      <c r="O98" s="76">
        <f t="shared" si="30"/>
        <v>699296.58</v>
      </c>
      <c r="P98" s="76">
        <f t="shared" si="30"/>
        <v>71.410000000000309</v>
      </c>
      <c r="Q98" s="76">
        <f t="shared" si="30"/>
        <v>71.410000000000309</v>
      </c>
      <c r="R98" s="76">
        <f t="shared" si="30"/>
        <v>11045.879999999956</v>
      </c>
      <c r="S98" s="76">
        <f t="shared" si="30"/>
        <v>11045.879999999956</v>
      </c>
      <c r="T98" s="76">
        <f t="shared" si="30"/>
        <v>9839</v>
      </c>
      <c r="U98" s="76">
        <f t="shared" si="30"/>
        <v>9839</v>
      </c>
      <c r="V98" s="76">
        <f t="shared" si="30"/>
        <v>20354</v>
      </c>
      <c r="W98" s="76">
        <f t="shared" si="30"/>
        <v>20354</v>
      </c>
      <c r="X98" s="76">
        <f t="shared" si="30"/>
        <v>56892</v>
      </c>
      <c r="Y98" s="76">
        <f t="shared" si="30"/>
        <v>56892</v>
      </c>
      <c r="Z98" s="76">
        <f t="shared" si="30"/>
        <v>1100</v>
      </c>
      <c r="AA98" s="76">
        <f t="shared" si="30"/>
        <v>14480</v>
      </c>
      <c r="AB98" s="76">
        <f t="shared" si="30"/>
        <v>310</v>
      </c>
      <c r="AC98" s="76">
        <f t="shared" si="30"/>
        <v>310</v>
      </c>
      <c r="AD98" s="76">
        <f t="shared" si="30"/>
        <v>2620</v>
      </c>
      <c r="AE98" s="76">
        <f t="shared" si="30"/>
        <v>2620</v>
      </c>
      <c r="AF98" s="76">
        <f t="shared" ref="AF98:BK98" si="31">AF109-AF87-AF76-AF65-AF43-AF32-AF21-AF10-AF54</f>
        <v>417</v>
      </c>
      <c r="AG98" s="76">
        <f t="shared" si="31"/>
        <v>417</v>
      </c>
      <c r="AH98" s="76">
        <f t="shared" si="31"/>
        <v>44.950000000000728</v>
      </c>
      <c r="AI98" s="76">
        <f t="shared" si="31"/>
        <v>44.950000000000728</v>
      </c>
      <c r="AJ98" s="76">
        <f t="shared" si="31"/>
        <v>0</v>
      </c>
      <c r="AK98" s="76">
        <f t="shared" si="31"/>
        <v>0</v>
      </c>
      <c r="AL98" s="76">
        <f t="shared" si="31"/>
        <v>62322.209999999803</v>
      </c>
      <c r="AM98" s="76">
        <f t="shared" si="31"/>
        <v>62322.209999999803</v>
      </c>
      <c r="AN98" s="76">
        <f t="shared" si="31"/>
        <v>142</v>
      </c>
      <c r="AO98" s="76">
        <f t="shared" si="31"/>
        <v>141</v>
      </c>
      <c r="AP98" s="76">
        <f t="shared" si="31"/>
        <v>6475</v>
      </c>
      <c r="AQ98" s="76">
        <f t="shared" si="31"/>
        <v>6475</v>
      </c>
      <c r="AR98" s="76">
        <f t="shared" si="31"/>
        <v>10121</v>
      </c>
      <c r="AS98" s="76">
        <f t="shared" si="31"/>
        <v>9121</v>
      </c>
      <c r="AT98" s="76">
        <f t="shared" si="31"/>
        <v>4424</v>
      </c>
      <c r="AU98" s="76">
        <f t="shared" si="31"/>
        <v>4424</v>
      </c>
      <c r="AV98" s="76">
        <f t="shared" si="29"/>
        <v>7188</v>
      </c>
      <c r="AW98" s="76">
        <f t="shared" si="29"/>
        <v>7188</v>
      </c>
      <c r="AX98" s="76">
        <f t="shared" si="31"/>
        <v>-49</v>
      </c>
      <c r="AY98" s="76">
        <f t="shared" si="31"/>
        <v>1919</v>
      </c>
      <c r="AZ98" s="76">
        <f t="shared" si="31"/>
        <v>65</v>
      </c>
      <c r="BA98" s="76">
        <f t="shared" si="31"/>
        <v>65</v>
      </c>
      <c r="BB98" s="76">
        <f t="shared" si="31"/>
        <v>40576</v>
      </c>
      <c r="BC98" s="76">
        <f t="shared" si="31"/>
        <v>40576</v>
      </c>
      <c r="BD98" s="76">
        <f t="shared" si="31"/>
        <v>115546</v>
      </c>
      <c r="BE98" s="76">
        <f t="shared" si="31"/>
        <v>115546</v>
      </c>
      <c r="BF98" s="76">
        <f t="shared" si="31"/>
        <v>388</v>
      </c>
      <c r="BG98" s="76">
        <f t="shared" si="31"/>
        <v>37653</v>
      </c>
      <c r="BH98" s="76">
        <f t="shared" si="31"/>
        <v>55057</v>
      </c>
      <c r="BI98" s="76">
        <f t="shared" si="31"/>
        <v>55057</v>
      </c>
      <c r="BJ98" s="76">
        <f t="shared" si="31"/>
        <v>-8549</v>
      </c>
      <c r="BK98" s="76">
        <f t="shared" si="31"/>
        <v>2731</v>
      </c>
      <c r="BL98" s="68">
        <f t="shared" si="19"/>
        <v>394540.98999999976</v>
      </c>
      <c r="BM98" s="68">
        <f t="shared" si="20"/>
        <v>1190921.0299999998</v>
      </c>
    </row>
    <row r="99" spans="1:65" ht="30" x14ac:dyDescent="0.25">
      <c r="A99" s="20" t="s">
        <v>285</v>
      </c>
      <c r="B99" s="76">
        <f t="shared" ref="B99:AE99" si="32">B110-B88-B77-B66-B44-B33-B22-B11-B55</f>
        <v>454</v>
      </c>
      <c r="C99" s="76">
        <f t="shared" si="32"/>
        <v>255</v>
      </c>
      <c r="D99" s="76">
        <f t="shared" si="32"/>
        <v>352</v>
      </c>
      <c r="E99" s="76">
        <f t="shared" si="32"/>
        <v>275</v>
      </c>
      <c r="F99" s="76">
        <f t="shared" si="32"/>
        <v>0</v>
      </c>
      <c r="G99" s="76">
        <f t="shared" si="32"/>
        <v>0</v>
      </c>
      <c r="H99" s="76">
        <f t="shared" si="32"/>
        <v>25862</v>
      </c>
      <c r="I99" s="76">
        <f t="shared" si="32"/>
        <v>24055</v>
      </c>
      <c r="J99" s="76">
        <f t="shared" si="32"/>
        <v>2566</v>
      </c>
      <c r="K99" s="76">
        <f t="shared" si="32"/>
        <v>2476</v>
      </c>
      <c r="L99" s="76">
        <f t="shared" si="32"/>
        <v>1536</v>
      </c>
      <c r="M99" s="76">
        <f t="shared" si="32"/>
        <v>1128</v>
      </c>
      <c r="N99" s="76">
        <f t="shared" si="32"/>
        <v>0</v>
      </c>
      <c r="O99" s="76">
        <f t="shared" si="32"/>
        <v>688533.46</v>
      </c>
      <c r="P99" s="76">
        <f t="shared" si="32"/>
        <v>51.940000000000509</v>
      </c>
      <c r="Q99" s="76">
        <f t="shared" si="32"/>
        <v>11.430000000001655</v>
      </c>
      <c r="R99" s="76">
        <f t="shared" si="32"/>
        <v>10024.189999999999</v>
      </c>
      <c r="S99" s="76">
        <f t="shared" si="32"/>
        <v>10641.39000000001</v>
      </c>
      <c r="T99" s="76">
        <f t="shared" si="32"/>
        <v>7022</v>
      </c>
      <c r="U99" s="76">
        <f t="shared" si="32"/>
        <v>1853</v>
      </c>
      <c r="V99" s="76">
        <f t="shared" si="32"/>
        <v>-19598</v>
      </c>
      <c r="W99" s="76">
        <f t="shared" si="32"/>
        <v>-18996</v>
      </c>
      <c r="X99" s="76">
        <f t="shared" si="32"/>
        <v>55231</v>
      </c>
      <c r="Y99" s="76">
        <f t="shared" si="32"/>
        <v>41794</v>
      </c>
      <c r="Z99" s="76">
        <f t="shared" si="32"/>
        <v>0</v>
      </c>
      <c r="AA99" s="76">
        <f t="shared" si="32"/>
        <v>10067</v>
      </c>
      <c r="AB99" s="76">
        <f t="shared" si="32"/>
        <v>286</v>
      </c>
      <c r="AC99" s="76">
        <f t="shared" si="32"/>
        <v>249.86000000000013</v>
      </c>
      <c r="AD99" s="76">
        <f t="shared" si="32"/>
        <v>2481</v>
      </c>
      <c r="AE99" s="76">
        <f t="shared" si="32"/>
        <v>2752</v>
      </c>
      <c r="AF99" s="76">
        <f t="shared" ref="AF99:BK99" si="33">AF110-AF88-AF77-AF66-AF44-AF33-AF22-AF11-AF55</f>
        <v>-559</v>
      </c>
      <c r="AG99" s="76">
        <f t="shared" si="33"/>
        <v>-411</v>
      </c>
      <c r="AH99" s="76">
        <f t="shared" si="33"/>
        <v>45.200000000000728</v>
      </c>
      <c r="AI99" s="76">
        <f t="shared" si="33"/>
        <v>26.440000000000509</v>
      </c>
      <c r="AJ99" s="76">
        <f t="shared" si="33"/>
        <v>0</v>
      </c>
      <c r="AK99" s="76">
        <f t="shared" si="33"/>
        <v>-1</v>
      </c>
      <c r="AL99" s="76">
        <f t="shared" si="33"/>
        <v>57380.689999999973</v>
      </c>
      <c r="AM99" s="76">
        <f t="shared" si="33"/>
        <v>36746.049999999857</v>
      </c>
      <c r="AN99" s="76">
        <f t="shared" si="33"/>
        <v>-163</v>
      </c>
      <c r="AO99" s="76">
        <f t="shared" si="33"/>
        <v>-146</v>
      </c>
      <c r="AP99" s="76">
        <f t="shared" si="33"/>
        <v>6726</v>
      </c>
      <c r="AQ99" s="76">
        <f t="shared" si="33"/>
        <v>5581</v>
      </c>
      <c r="AR99" s="76">
        <f t="shared" si="33"/>
        <v>9784</v>
      </c>
      <c r="AS99" s="76">
        <f t="shared" si="33"/>
        <v>8693</v>
      </c>
      <c r="AT99" s="76">
        <f t="shared" si="33"/>
        <v>4507</v>
      </c>
      <c r="AU99" s="76">
        <f t="shared" si="33"/>
        <v>5607</v>
      </c>
      <c r="AV99" s="76">
        <f t="shared" si="29"/>
        <v>7110</v>
      </c>
      <c r="AW99" s="76">
        <f t="shared" si="29"/>
        <v>5810</v>
      </c>
      <c r="AX99" s="76">
        <f t="shared" si="33"/>
        <v>0</v>
      </c>
      <c r="AY99" s="76">
        <f t="shared" si="33"/>
        <v>1528</v>
      </c>
      <c r="AZ99" s="76">
        <f t="shared" si="33"/>
        <v>180</v>
      </c>
      <c r="BA99" s="76">
        <f t="shared" si="33"/>
        <v>978</v>
      </c>
      <c r="BB99" s="76">
        <f>BB110-BB88-BB77-BB66-BB44-BB33-BB22-BB11-BB55</f>
        <v>42227</v>
      </c>
      <c r="BC99" s="76">
        <f t="shared" si="33"/>
        <v>37547</v>
      </c>
      <c r="BD99" s="76">
        <f t="shared" si="33"/>
        <v>117928</v>
      </c>
      <c r="BE99" s="76">
        <f t="shared" si="33"/>
        <v>124024</v>
      </c>
      <c r="BF99" s="76">
        <f t="shared" si="33"/>
        <v>0</v>
      </c>
      <c r="BG99" s="76">
        <f t="shared" si="33"/>
        <v>36468</v>
      </c>
      <c r="BH99" s="76">
        <f t="shared" si="33"/>
        <v>56308</v>
      </c>
      <c r="BI99" s="76">
        <f t="shared" si="33"/>
        <v>56308</v>
      </c>
      <c r="BJ99" s="76">
        <f t="shared" si="33"/>
        <v>0</v>
      </c>
      <c r="BK99" s="76">
        <f t="shared" si="33"/>
        <v>3462</v>
      </c>
      <c r="BL99" s="68">
        <f t="shared" si="19"/>
        <v>387742.01999999996</v>
      </c>
      <c r="BM99" s="68">
        <f t="shared" si="20"/>
        <v>1087315.6299999999</v>
      </c>
    </row>
    <row r="100" spans="1:65" s="7" customFormat="1" x14ac:dyDescent="0.25">
      <c r="A100" s="3" t="s">
        <v>286</v>
      </c>
      <c r="B100" s="10">
        <f>B111-B89-B78-B67-B56-B45-B34-B23-B12</f>
        <v>618</v>
      </c>
      <c r="C100" s="10">
        <f t="shared" ref="C100:AE100" si="34">C111-C89-C78-C67-C56-C45-C34-C23-C12</f>
        <v>1859</v>
      </c>
      <c r="D100" s="10">
        <f t="shared" si="34"/>
        <v>148</v>
      </c>
      <c r="E100" s="10">
        <f t="shared" si="34"/>
        <v>326</v>
      </c>
      <c r="F100" s="10">
        <f t="shared" si="34"/>
        <v>0</v>
      </c>
      <c r="G100" s="10">
        <f t="shared" si="34"/>
        <v>0</v>
      </c>
      <c r="H100" s="10">
        <f t="shared" si="34"/>
        <v>4379</v>
      </c>
      <c r="I100" s="10">
        <f t="shared" si="34"/>
        <v>15776</v>
      </c>
      <c r="J100" s="10">
        <f t="shared" si="34"/>
        <v>2503</v>
      </c>
      <c r="K100" s="10">
        <f t="shared" si="34"/>
        <v>3441</v>
      </c>
      <c r="L100" s="10">
        <f t="shared" si="34"/>
        <v>333</v>
      </c>
      <c r="M100" s="10">
        <f t="shared" si="34"/>
        <v>4641</v>
      </c>
      <c r="N100" s="10">
        <f t="shared" si="34"/>
        <v>-10053.59</v>
      </c>
      <c r="O100" s="10">
        <f t="shared" si="34"/>
        <v>54619.29</v>
      </c>
      <c r="P100" s="10">
        <f t="shared" si="34"/>
        <v>105.92999999999974</v>
      </c>
      <c r="Q100" s="10">
        <f t="shared" si="34"/>
        <v>305.92000000000024</v>
      </c>
      <c r="R100" s="10">
        <f t="shared" si="34"/>
        <v>4418.6199999999935</v>
      </c>
      <c r="S100" s="10">
        <f t="shared" si="34"/>
        <v>12212.919999999986</v>
      </c>
      <c r="T100" s="10">
        <f t="shared" si="34"/>
        <v>4932</v>
      </c>
      <c r="U100" s="10">
        <f t="shared" si="34"/>
        <v>15038</v>
      </c>
      <c r="V100" s="10">
        <f t="shared" si="34"/>
        <v>3180</v>
      </c>
      <c r="W100" s="10">
        <f t="shared" si="34"/>
        <v>11573</v>
      </c>
      <c r="X100" s="10">
        <f t="shared" si="34"/>
        <v>7977</v>
      </c>
      <c r="Y100" s="10">
        <f t="shared" si="34"/>
        <v>28392</v>
      </c>
      <c r="Z100" s="10">
        <f t="shared" si="34"/>
        <v>6122</v>
      </c>
      <c r="AA100" s="10">
        <f t="shared" si="34"/>
        <v>18606</v>
      </c>
      <c r="AB100" s="10">
        <f t="shared" si="34"/>
        <v>34</v>
      </c>
      <c r="AC100" s="10">
        <f t="shared" si="34"/>
        <v>161</v>
      </c>
      <c r="AD100" s="10">
        <f t="shared" si="34"/>
        <v>659</v>
      </c>
      <c r="AE100" s="10">
        <f t="shared" si="34"/>
        <v>3849</v>
      </c>
      <c r="AF100" s="10">
        <f t="shared" ref="AF100:BK100" si="35">AF111-AF89-AF78-AF67-AF56-AF45-AF34-AF23-AF12</f>
        <v>-109</v>
      </c>
      <c r="AG100" s="10">
        <f t="shared" si="35"/>
        <v>80</v>
      </c>
      <c r="AH100" s="10">
        <f t="shared" si="35"/>
        <v>3.1200000000008004</v>
      </c>
      <c r="AI100" s="10">
        <f t="shared" si="35"/>
        <v>55.989999999997963</v>
      </c>
      <c r="AJ100" s="10">
        <f t="shared" si="35"/>
        <v>1</v>
      </c>
      <c r="AK100" s="10">
        <f t="shared" si="35"/>
        <v>0</v>
      </c>
      <c r="AL100" s="10">
        <f t="shared" si="35"/>
        <v>8747.7199999999866</v>
      </c>
      <c r="AM100" s="10">
        <f t="shared" si="35"/>
        <v>77068.910000000062</v>
      </c>
      <c r="AN100" s="10">
        <f t="shared" si="35"/>
        <v>63</v>
      </c>
      <c r="AO100" s="10">
        <f t="shared" si="35"/>
        <v>452</v>
      </c>
      <c r="AP100" s="10">
        <f t="shared" si="35"/>
        <v>-15</v>
      </c>
      <c r="AQ100" s="10">
        <f t="shared" si="35"/>
        <v>1692</v>
      </c>
      <c r="AR100" s="10">
        <f t="shared" si="35"/>
        <v>1863</v>
      </c>
      <c r="AS100" s="10">
        <f t="shared" si="35"/>
        <v>5683</v>
      </c>
      <c r="AT100" s="10">
        <f t="shared" si="35"/>
        <v>4</v>
      </c>
      <c r="AU100" s="10">
        <f t="shared" si="35"/>
        <v>87</v>
      </c>
      <c r="AV100" s="10">
        <f>AV111-AV89-AV78-AV67-AV56-AV45-AV34-AV23-AV12</f>
        <v>616</v>
      </c>
      <c r="AW100" s="10">
        <f>AW111-AW89-AW78-AW67-AW56-AW45-AW34-AW23-AW12</f>
        <v>3499</v>
      </c>
      <c r="AX100" s="10">
        <f t="shared" si="35"/>
        <v>49</v>
      </c>
      <c r="AY100" s="10">
        <f t="shared" si="35"/>
        <v>718</v>
      </c>
      <c r="AZ100" s="10">
        <f t="shared" si="35"/>
        <v>-111</v>
      </c>
      <c r="BA100" s="10">
        <f t="shared" si="35"/>
        <v>-326</v>
      </c>
      <c r="BB100" s="10">
        <f>BB111-BB89-BB78-BB67-BB56-BB45-BB34-BB23-BB12</f>
        <v>4369</v>
      </c>
      <c r="BC100" s="10">
        <f t="shared" si="35"/>
        <v>18440</v>
      </c>
      <c r="BD100" s="10">
        <f t="shared" si="35"/>
        <v>16407</v>
      </c>
      <c r="BE100" s="10">
        <f t="shared" si="35"/>
        <v>57322</v>
      </c>
      <c r="BF100" s="10">
        <f t="shared" si="35"/>
        <v>7487</v>
      </c>
      <c r="BG100" s="10">
        <f t="shared" si="35"/>
        <v>22858</v>
      </c>
      <c r="BH100" s="10">
        <f t="shared" si="35"/>
        <v>7242</v>
      </c>
      <c r="BI100" s="10">
        <f t="shared" si="35"/>
        <v>35634</v>
      </c>
      <c r="BJ100" s="10">
        <f t="shared" si="35"/>
        <v>-50</v>
      </c>
      <c r="BK100" s="10">
        <f t="shared" si="35"/>
        <v>590</v>
      </c>
      <c r="BL100" s="63">
        <f t="shared" si="19"/>
        <v>71922.799999999988</v>
      </c>
      <c r="BM100" s="63">
        <f t="shared" si="20"/>
        <v>394654.03</v>
      </c>
    </row>
    <row r="101" spans="1:65" x14ac:dyDescent="0.25">
      <c r="A101" s="13"/>
    </row>
    <row r="102" spans="1:65" x14ac:dyDescent="0.25">
      <c r="A102" s="27" t="s">
        <v>40</v>
      </c>
    </row>
    <row r="103" spans="1:65" x14ac:dyDescent="0.25">
      <c r="A103" s="3" t="s">
        <v>0</v>
      </c>
      <c r="B103" s="154" t="s">
        <v>1</v>
      </c>
      <c r="C103" s="155"/>
      <c r="D103" s="154" t="s">
        <v>234</v>
      </c>
      <c r="E103" s="155"/>
      <c r="F103" s="154" t="s">
        <v>2</v>
      </c>
      <c r="G103" s="155"/>
      <c r="H103" s="154" t="s">
        <v>3</v>
      </c>
      <c r="I103" s="155"/>
      <c r="J103" s="154" t="s">
        <v>243</v>
      </c>
      <c r="K103" s="155"/>
      <c r="L103" s="154" t="s">
        <v>235</v>
      </c>
      <c r="M103" s="155"/>
      <c r="N103" s="154" t="s">
        <v>5</v>
      </c>
      <c r="O103" s="155"/>
      <c r="P103" s="154" t="s">
        <v>4</v>
      </c>
      <c r="Q103" s="155"/>
      <c r="R103" s="154" t="s">
        <v>6</v>
      </c>
      <c r="S103" s="155"/>
      <c r="T103" s="154" t="s">
        <v>246</v>
      </c>
      <c r="U103" s="155"/>
      <c r="V103" s="154" t="s">
        <v>7</v>
      </c>
      <c r="W103" s="155"/>
      <c r="X103" s="154" t="s">
        <v>8</v>
      </c>
      <c r="Y103" s="155"/>
      <c r="Z103" s="154" t="s">
        <v>9</v>
      </c>
      <c r="AA103" s="155"/>
      <c r="AB103" s="154" t="s">
        <v>242</v>
      </c>
      <c r="AC103" s="155"/>
      <c r="AD103" s="154" t="s">
        <v>10</v>
      </c>
      <c r="AE103" s="155"/>
      <c r="AF103" s="154" t="s">
        <v>11</v>
      </c>
      <c r="AG103" s="155"/>
      <c r="AH103" s="154" t="s">
        <v>236</v>
      </c>
      <c r="AI103" s="155"/>
      <c r="AJ103" s="154" t="s">
        <v>245</v>
      </c>
      <c r="AK103" s="155"/>
      <c r="AL103" s="154" t="s">
        <v>12</v>
      </c>
      <c r="AM103" s="155"/>
      <c r="AN103" s="154" t="s">
        <v>237</v>
      </c>
      <c r="AO103" s="155"/>
      <c r="AP103" s="154" t="s">
        <v>238</v>
      </c>
      <c r="AQ103" s="155"/>
      <c r="AR103" s="154" t="s">
        <v>241</v>
      </c>
      <c r="AS103" s="155"/>
      <c r="AT103" s="154" t="s">
        <v>13</v>
      </c>
      <c r="AU103" s="155"/>
      <c r="AV103" s="154" t="s">
        <v>14</v>
      </c>
      <c r="AW103" s="155"/>
      <c r="AX103" s="154" t="s">
        <v>15</v>
      </c>
      <c r="AY103" s="155"/>
      <c r="AZ103" s="154" t="s">
        <v>16</v>
      </c>
      <c r="BA103" s="155"/>
      <c r="BB103" s="154" t="s">
        <v>17</v>
      </c>
      <c r="BC103" s="155"/>
      <c r="BD103" s="154" t="s">
        <v>239</v>
      </c>
      <c r="BE103" s="155"/>
      <c r="BF103" s="154" t="s">
        <v>240</v>
      </c>
      <c r="BG103" s="155"/>
      <c r="BH103" s="154" t="s">
        <v>18</v>
      </c>
      <c r="BI103" s="155"/>
      <c r="BJ103" s="154" t="s">
        <v>19</v>
      </c>
      <c r="BK103" s="155"/>
      <c r="BL103" s="156" t="s">
        <v>20</v>
      </c>
      <c r="BM103" s="157"/>
    </row>
    <row r="104" spans="1:65" ht="30" x14ac:dyDescent="0.25">
      <c r="A104" s="3"/>
      <c r="B104" s="53" t="s">
        <v>300</v>
      </c>
      <c r="C104" s="54" t="s">
        <v>301</v>
      </c>
      <c r="D104" s="53" t="s">
        <v>300</v>
      </c>
      <c r="E104" s="54" t="s">
        <v>301</v>
      </c>
      <c r="F104" s="53" t="s">
        <v>300</v>
      </c>
      <c r="G104" s="54" t="s">
        <v>301</v>
      </c>
      <c r="H104" s="53" t="s">
        <v>300</v>
      </c>
      <c r="I104" s="54" t="s">
        <v>301</v>
      </c>
      <c r="J104" s="53" t="s">
        <v>300</v>
      </c>
      <c r="K104" s="54" t="s">
        <v>301</v>
      </c>
      <c r="L104" s="53" t="s">
        <v>300</v>
      </c>
      <c r="M104" s="54" t="s">
        <v>301</v>
      </c>
      <c r="N104" s="53" t="s">
        <v>300</v>
      </c>
      <c r="O104" s="54" t="s">
        <v>301</v>
      </c>
      <c r="P104" s="53" t="s">
        <v>300</v>
      </c>
      <c r="Q104" s="54" t="s">
        <v>301</v>
      </c>
      <c r="R104" s="53" t="s">
        <v>300</v>
      </c>
      <c r="S104" s="54" t="s">
        <v>301</v>
      </c>
      <c r="T104" s="53" t="s">
        <v>300</v>
      </c>
      <c r="U104" s="54" t="s">
        <v>301</v>
      </c>
      <c r="V104" s="53" t="s">
        <v>300</v>
      </c>
      <c r="W104" s="54" t="s">
        <v>301</v>
      </c>
      <c r="X104" s="53" t="s">
        <v>300</v>
      </c>
      <c r="Y104" s="54" t="s">
        <v>301</v>
      </c>
      <c r="Z104" s="53" t="s">
        <v>300</v>
      </c>
      <c r="AA104" s="54" t="s">
        <v>301</v>
      </c>
      <c r="AB104" s="53" t="s">
        <v>300</v>
      </c>
      <c r="AC104" s="54" t="s">
        <v>301</v>
      </c>
      <c r="AD104" s="53" t="s">
        <v>300</v>
      </c>
      <c r="AE104" s="54" t="s">
        <v>301</v>
      </c>
      <c r="AF104" s="53" t="s">
        <v>300</v>
      </c>
      <c r="AG104" s="54" t="s">
        <v>301</v>
      </c>
      <c r="AH104" s="53" t="s">
        <v>300</v>
      </c>
      <c r="AI104" s="54" t="s">
        <v>301</v>
      </c>
      <c r="AJ104" s="53" t="s">
        <v>300</v>
      </c>
      <c r="AK104" s="54" t="s">
        <v>301</v>
      </c>
      <c r="AL104" s="53" t="s">
        <v>300</v>
      </c>
      <c r="AM104" s="54" t="s">
        <v>301</v>
      </c>
      <c r="AN104" s="53" t="s">
        <v>300</v>
      </c>
      <c r="AO104" s="54" t="s">
        <v>301</v>
      </c>
      <c r="AP104" s="53" t="s">
        <v>300</v>
      </c>
      <c r="AQ104" s="54" t="s">
        <v>301</v>
      </c>
      <c r="AR104" s="53" t="s">
        <v>300</v>
      </c>
      <c r="AS104" s="54" t="s">
        <v>301</v>
      </c>
      <c r="AT104" s="53" t="s">
        <v>300</v>
      </c>
      <c r="AU104" s="54" t="s">
        <v>301</v>
      </c>
      <c r="AV104" s="53" t="s">
        <v>300</v>
      </c>
      <c r="AW104" s="54" t="s">
        <v>301</v>
      </c>
      <c r="AX104" s="53" t="s">
        <v>300</v>
      </c>
      <c r="AY104" s="54" t="s">
        <v>301</v>
      </c>
      <c r="AZ104" s="53" t="s">
        <v>300</v>
      </c>
      <c r="BA104" s="54" t="s">
        <v>301</v>
      </c>
      <c r="BB104" s="53" t="s">
        <v>300</v>
      </c>
      <c r="BC104" s="54" t="s">
        <v>301</v>
      </c>
      <c r="BD104" s="53" t="s">
        <v>300</v>
      </c>
      <c r="BE104" s="54" t="s">
        <v>301</v>
      </c>
      <c r="BF104" s="53" t="s">
        <v>300</v>
      </c>
      <c r="BG104" s="54" t="s">
        <v>301</v>
      </c>
      <c r="BH104" s="53" t="s">
        <v>300</v>
      </c>
      <c r="BI104" s="54" t="s">
        <v>301</v>
      </c>
      <c r="BJ104" s="53" t="s">
        <v>300</v>
      </c>
      <c r="BK104" s="54" t="s">
        <v>301</v>
      </c>
      <c r="BL104" s="104" t="s">
        <v>300</v>
      </c>
      <c r="BM104" s="105" t="s">
        <v>301</v>
      </c>
    </row>
    <row r="105" spans="1:65" x14ac:dyDescent="0.25">
      <c r="A105" s="20" t="s">
        <v>280</v>
      </c>
      <c r="B105" s="91">
        <v>15493</v>
      </c>
      <c r="C105" s="91">
        <v>47922</v>
      </c>
      <c r="D105" s="91">
        <v>26702</v>
      </c>
      <c r="E105" s="91">
        <v>102114</v>
      </c>
      <c r="F105" s="91">
        <v>617408</v>
      </c>
      <c r="G105" s="91">
        <v>1094456</v>
      </c>
      <c r="H105" s="91">
        <v>260672</v>
      </c>
      <c r="I105" s="91">
        <v>790023</v>
      </c>
      <c r="J105" s="91">
        <v>44211</v>
      </c>
      <c r="K105" s="91">
        <v>207938</v>
      </c>
      <c r="L105" s="91">
        <v>68373</v>
      </c>
      <c r="M105" s="91">
        <v>244104</v>
      </c>
      <c r="N105" s="91">
        <v>35255.57</v>
      </c>
      <c r="O105" s="91">
        <v>68720.429999999993</v>
      </c>
      <c r="P105" s="90">
        <v>5722.48</v>
      </c>
      <c r="Q105" s="90">
        <v>20924.34</v>
      </c>
      <c r="R105" s="91">
        <v>84128.65</v>
      </c>
      <c r="S105" s="91">
        <v>239298.93</v>
      </c>
      <c r="T105" s="91">
        <v>28610</v>
      </c>
      <c r="U105" s="91">
        <v>64506</v>
      </c>
      <c r="V105" s="91">
        <v>190168</v>
      </c>
      <c r="W105" s="91">
        <v>804925</v>
      </c>
      <c r="X105" s="91">
        <v>240430</v>
      </c>
      <c r="Y105" s="91">
        <v>961446</v>
      </c>
      <c r="Z105" s="91">
        <v>164222</v>
      </c>
      <c r="AA105" s="91">
        <v>613843</v>
      </c>
      <c r="AB105" s="91">
        <v>8892</v>
      </c>
      <c r="AC105" s="91">
        <v>29179</v>
      </c>
      <c r="AD105" s="91">
        <v>18609</v>
      </c>
      <c r="AE105" s="91">
        <v>72434</v>
      </c>
      <c r="AF105" s="91">
        <v>15774</v>
      </c>
      <c r="AG105" s="91">
        <v>47627</v>
      </c>
      <c r="AH105" s="91">
        <v>14609.95</v>
      </c>
      <c r="AI105" s="91">
        <v>65167.74</v>
      </c>
      <c r="AJ105" s="91">
        <v>32516</v>
      </c>
      <c r="AK105" s="91">
        <v>134677</v>
      </c>
      <c r="AL105" s="91">
        <v>397307.28</v>
      </c>
      <c r="AM105" s="91">
        <v>1331805.1499999999</v>
      </c>
      <c r="AN105" s="91">
        <v>1154</v>
      </c>
      <c r="AO105" s="91">
        <v>3627</v>
      </c>
      <c r="AP105" s="91">
        <v>6588</v>
      </c>
      <c r="AQ105" s="91">
        <v>19872</v>
      </c>
      <c r="AR105" s="76">
        <v>156766</v>
      </c>
      <c r="AS105" s="76">
        <v>470656</v>
      </c>
      <c r="AT105" s="91">
        <v>55823</v>
      </c>
      <c r="AU105" s="91">
        <v>179652</v>
      </c>
      <c r="AV105" s="91">
        <v>141424</v>
      </c>
      <c r="AW105" s="91">
        <v>565806</v>
      </c>
      <c r="AX105" s="91">
        <v>36695</v>
      </c>
      <c r="AY105" s="91">
        <v>111516</v>
      </c>
      <c r="AZ105" s="91">
        <v>195550</v>
      </c>
      <c r="BA105" s="91">
        <v>892992</v>
      </c>
      <c r="BB105" s="91">
        <v>135345</v>
      </c>
      <c r="BC105" s="91">
        <v>413250</v>
      </c>
      <c r="BD105" s="91">
        <v>818808</v>
      </c>
      <c r="BE105" s="91">
        <v>2952670</v>
      </c>
      <c r="BF105" s="91">
        <v>376378</v>
      </c>
      <c r="BG105" s="91">
        <v>1298633</v>
      </c>
      <c r="BH105" s="91">
        <v>424742</v>
      </c>
      <c r="BI105" s="91">
        <v>1430226</v>
      </c>
      <c r="BJ105" s="91">
        <v>53769</v>
      </c>
      <c r="BK105" s="91">
        <v>175652</v>
      </c>
      <c r="BL105" s="68">
        <f t="shared" ref="BL105:BL111" si="36">SUM(B105+D105+F105+H105+J105+L105+N105+P105+R105+T105+V105+X105+Z105+AB105+AD105+AF105+AH105+AJ105+AL105+AN105+AP105+AR105+AT105+AV105+AX105+AZ105+BB105+BD105+BF105+BH105+BJ105)</f>
        <v>4672145.93</v>
      </c>
      <c r="BM105" s="68">
        <f t="shared" ref="BM105:BM111" si="37">SUM(C105+E105+G105+I105+K105+M105+O105+Q105+S105+U105+W105+Y105+AA105+AC105+AE105+AG105+AI105+AK105+AM105+AO105+AQ105+AS105+AU105+AW105+AY105+BA105+BC105+BE105+BG105+BI105+BK105)</f>
        <v>15455662.59</v>
      </c>
    </row>
    <row r="106" spans="1:65" x14ac:dyDescent="0.25">
      <c r="A106" s="20" t="s">
        <v>281</v>
      </c>
      <c r="B106" s="91"/>
      <c r="C106" s="91"/>
      <c r="D106" s="91"/>
      <c r="E106" s="91"/>
      <c r="F106" s="91">
        <v>0</v>
      </c>
      <c r="G106" s="91">
        <v>0</v>
      </c>
      <c r="H106" s="91">
        <v>256</v>
      </c>
      <c r="I106" s="91">
        <v>1594</v>
      </c>
      <c r="J106" s="91">
        <v>1656</v>
      </c>
      <c r="K106" s="91">
        <v>2774</v>
      </c>
      <c r="L106" s="91">
        <v>-10</v>
      </c>
      <c r="M106" s="91">
        <v>-49</v>
      </c>
      <c r="N106" s="91"/>
      <c r="O106" s="91"/>
      <c r="P106" s="90">
        <v>98.87</v>
      </c>
      <c r="Q106" s="90">
        <v>499.1</v>
      </c>
      <c r="R106" s="91">
        <v>144.32</v>
      </c>
      <c r="S106" s="91">
        <v>1443.16</v>
      </c>
      <c r="T106" s="91">
        <v>2602</v>
      </c>
      <c r="U106" s="91">
        <v>33685</v>
      </c>
      <c r="V106" s="91">
        <v>1555</v>
      </c>
      <c r="W106" s="91">
        <v>5223</v>
      </c>
      <c r="X106" s="91">
        <v>4388</v>
      </c>
      <c r="Y106" s="91">
        <v>13601</v>
      </c>
      <c r="Z106" s="91">
        <v>3414</v>
      </c>
      <c r="AA106" s="91">
        <v>4859</v>
      </c>
      <c r="AB106" s="91">
        <v>3</v>
      </c>
      <c r="AC106" s="91">
        <v>-5</v>
      </c>
      <c r="AD106" s="91">
        <v>1</v>
      </c>
      <c r="AE106" s="91">
        <v>-19</v>
      </c>
      <c r="AF106" s="91">
        <v>631</v>
      </c>
      <c r="AG106" s="91">
        <v>2963</v>
      </c>
      <c r="AH106" s="91"/>
      <c r="AI106" s="91"/>
      <c r="AJ106" s="91"/>
      <c r="AK106" s="91"/>
      <c r="AL106" s="91">
        <v>20273.7</v>
      </c>
      <c r="AM106" s="91">
        <v>31941.15</v>
      </c>
      <c r="AN106" s="91">
        <v>0</v>
      </c>
      <c r="AO106" s="91">
        <v>0</v>
      </c>
      <c r="AP106" s="91">
        <v>24</v>
      </c>
      <c r="AQ106" s="91">
        <v>229</v>
      </c>
      <c r="AR106" s="76">
        <v>1556</v>
      </c>
      <c r="AS106" s="76">
        <v>2437</v>
      </c>
      <c r="AT106" s="91">
        <v>581</v>
      </c>
      <c r="AU106" s="91">
        <v>1976</v>
      </c>
      <c r="AV106" s="91">
        <v>3452</v>
      </c>
      <c r="AW106" s="91">
        <v>6969</v>
      </c>
      <c r="AX106" s="91">
        <v>1</v>
      </c>
      <c r="AY106" s="91">
        <v>-19</v>
      </c>
      <c r="AZ106" s="91"/>
      <c r="BA106" s="91"/>
      <c r="BB106" s="91">
        <v>10247</v>
      </c>
      <c r="BC106" s="91">
        <v>12634</v>
      </c>
      <c r="BD106" s="91">
        <v>36397</v>
      </c>
      <c r="BE106" s="91">
        <v>114068</v>
      </c>
      <c r="BF106" s="91">
        <v>7474</v>
      </c>
      <c r="BG106" s="91">
        <v>27950</v>
      </c>
      <c r="BH106" s="91">
        <v>15662</v>
      </c>
      <c r="BI106" s="91">
        <v>21001</v>
      </c>
      <c r="BJ106" s="91">
        <v>2179</v>
      </c>
      <c r="BK106" s="91">
        <v>2165</v>
      </c>
      <c r="BL106" s="68">
        <f t="shared" si="36"/>
        <v>112585.89</v>
      </c>
      <c r="BM106" s="68">
        <f t="shared" si="37"/>
        <v>287919.41000000003</v>
      </c>
    </row>
    <row r="107" spans="1:65" x14ac:dyDescent="0.25">
      <c r="A107" s="20" t="s">
        <v>282</v>
      </c>
      <c r="B107" s="91">
        <v>4783</v>
      </c>
      <c r="C107" s="91">
        <v>13365</v>
      </c>
      <c r="D107" s="91">
        <v>5694</v>
      </c>
      <c r="E107" s="91">
        <v>17900</v>
      </c>
      <c r="F107" s="91">
        <v>202952</v>
      </c>
      <c r="G107" s="91">
        <v>513702</v>
      </c>
      <c r="H107" s="91">
        <v>-121507</v>
      </c>
      <c r="I107" s="91">
        <v>-315910</v>
      </c>
      <c r="J107" s="91">
        <v>18563</v>
      </c>
      <c r="K107" s="91">
        <v>62582</v>
      </c>
      <c r="L107" s="91">
        <v>20741</v>
      </c>
      <c r="M107" s="91">
        <v>56613</v>
      </c>
      <c r="N107" s="91">
        <v>9201.94</v>
      </c>
      <c r="O107" s="91">
        <v>18293.54</v>
      </c>
      <c r="P107" s="90">
        <v>1055.22</v>
      </c>
      <c r="Q107" s="90">
        <v>2511.36</v>
      </c>
      <c r="R107" s="91">
        <v>38986.449999999997</v>
      </c>
      <c r="S107" s="91">
        <v>88021.04</v>
      </c>
      <c r="T107" s="91">
        <v>4568</v>
      </c>
      <c r="U107" s="91">
        <v>19872</v>
      </c>
      <c r="V107" s="91">
        <v>-62430</v>
      </c>
      <c r="W107" s="91">
        <v>-319808</v>
      </c>
      <c r="X107" s="91">
        <v>53298</v>
      </c>
      <c r="Y107" s="91">
        <v>212133</v>
      </c>
      <c r="Z107" s="91">
        <v>51045</v>
      </c>
      <c r="AA107" s="91">
        <v>188007</v>
      </c>
      <c r="AB107" s="91">
        <v>1934</v>
      </c>
      <c r="AC107" s="91">
        <v>4364</v>
      </c>
      <c r="AD107" s="91">
        <v>1417</v>
      </c>
      <c r="AE107" s="91">
        <v>6509</v>
      </c>
      <c r="AF107" s="91">
        <v>-7855</v>
      </c>
      <c r="AG107" s="91">
        <v>-23702</v>
      </c>
      <c r="AH107" s="91">
        <v>731.67</v>
      </c>
      <c r="AI107" s="91">
        <v>3258.39</v>
      </c>
      <c r="AJ107" s="91">
        <v>6867</v>
      </c>
      <c r="AK107" s="91">
        <v>29557</v>
      </c>
      <c r="AL107" s="91">
        <v>36693.120000000003</v>
      </c>
      <c r="AM107" s="91">
        <v>119470.95</v>
      </c>
      <c r="AN107" s="91">
        <v>-92</v>
      </c>
      <c r="AO107" s="91">
        <v>-339</v>
      </c>
      <c r="AP107" s="91">
        <v>1271</v>
      </c>
      <c r="AQ107" s="91">
        <v>2642</v>
      </c>
      <c r="AR107" s="76">
        <v>78325</v>
      </c>
      <c r="AS107" s="76">
        <v>205894</v>
      </c>
      <c r="AT107" s="91">
        <v>11173</v>
      </c>
      <c r="AU107" s="91">
        <v>42421</v>
      </c>
      <c r="AV107" s="91">
        <v>67418</v>
      </c>
      <c r="AW107" s="91">
        <v>285953</v>
      </c>
      <c r="AX107" s="91">
        <v>2634</v>
      </c>
      <c r="AY107" s="91">
        <v>8059</v>
      </c>
      <c r="AZ107" s="91">
        <v>9927</v>
      </c>
      <c r="BA107" s="91">
        <v>47060</v>
      </c>
      <c r="BB107" s="91">
        <v>34323</v>
      </c>
      <c r="BC107" s="91">
        <v>102632</v>
      </c>
      <c r="BD107" s="91">
        <v>147708</v>
      </c>
      <c r="BE107" s="91">
        <v>371081</v>
      </c>
      <c r="BF107" s="91">
        <v>33811</v>
      </c>
      <c r="BG107" s="91">
        <v>127939</v>
      </c>
      <c r="BH107" s="91">
        <v>49695</v>
      </c>
      <c r="BI107" s="91">
        <v>175903</v>
      </c>
      <c r="BJ107" s="91">
        <v>27202</v>
      </c>
      <c r="BK107" s="91">
        <v>78192</v>
      </c>
      <c r="BL107" s="68">
        <f t="shared" si="36"/>
        <v>730133.4</v>
      </c>
      <c r="BM107" s="68">
        <f t="shared" si="37"/>
        <v>2144176.2799999998</v>
      </c>
    </row>
    <row r="108" spans="1:65" s="7" customFormat="1" x14ac:dyDescent="0.25">
      <c r="A108" s="3" t="s">
        <v>283</v>
      </c>
      <c r="B108" s="10">
        <v>10710</v>
      </c>
      <c r="C108" s="10">
        <v>34557</v>
      </c>
      <c r="D108" s="10">
        <v>21009</v>
      </c>
      <c r="E108" s="10">
        <v>84214</v>
      </c>
      <c r="F108" s="10">
        <v>414456</v>
      </c>
      <c r="G108" s="10">
        <v>580755</v>
      </c>
      <c r="H108" s="10">
        <v>139421</v>
      </c>
      <c r="I108" s="10">
        <v>475707</v>
      </c>
      <c r="J108" s="10">
        <v>27304</v>
      </c>
      <c r="K108" s="10">
        <v>148130</v>
      </c>
      <c r="L108" s="10">
        <v>47622</v>
      </c>
      <c r="M108" s="10">
        <v>187442</v>
      </c>
      <c r="N108" s="10">
        <v>24137.87</v>
      </c>
      <c r="O108" s="10">
        <v>43856.17</v>
      </c>
      <c r="P108" s="127">
        <v>4766.13</v>
      </c>
      <c r="Q108" s="127">
        <v>18912.080000000002</v>
      </c>
      <c r="R108" s="10">
        <v>45286.53</v>
      </c>
      <c r="S108" s="10">
        <v>152721.04</v>
      </c>
      <c r="T108" s="10">
        <v>26644</v>
      </c>
      <c r="U108" s="10">
        <v>78319</v>
      </c>
      <c r="V108" s="10">
        <v>129293</v>
      </c>
      <c r="W108" s="10">
        <v>490340</v>
      </c>
      <c r="X108" s="10">
        <v>191520</v>
      </c>
      <c r="Y108" s="10">
        <v>762914</v>
      </c>
      <c r="Z108" s="10">
        <v>116591</v>
      </c>
      <c r="AA108" s="10">
        <v>430695</v>
      </c>
      <c r="AB108" s="10">
        <v>6960</v>
      </c>
      <c r="AC108" s="10">
        <v>24810</v>
      </c>
      <c r="AD108" s="10">
        <v>17193</v>
      </c>
      <c r="AE108" s="10">
        <v>65906</v>
      </c>
      <c r="AF108" s="10">
        <v>8550</v>
      </c>
      <c r="AG108" s="10">
        <v>26887</v>
      </c>
      <c r="AH108" s="10">
        <v>13878.29</v>
      </c>
      <c r="AI108" s="10">
        <v>61909.35</v>
      </c>
      <c r="AJ108" s="10">
        <v>25649</v>
      </c>
      <c r="AK108" s="10">
        <v>105120</v>
      </c>
      <c r="AL108" s="10">
        <v>380887.85</v>
      </c>
      <c r="AM108" s="10">
        <v>1244275.3500000001</v>
      </c>
      <c r="AN108" s="10">
        <v>1062</v>
      </c>
      <c r="AO108" s="10">
        <v>3288</v>
      </c>
      <c r="AP108" s="10">
        <v>5341</v>
      </c>
      <c r="AQ108" s="10">
        <v>17459</v>
      </c>
      <c r="AR108" s="10">
        <v>79997</v>
      </c>
      <c r="AS108" s="10">
        <v>267199</v>
      </c>
      <c r="AT108" s="10">
        <v>45231</v>
      </c>
      <c r="AU108" s="10">
        <v>139207</v>
      </c>
      <c r="AV108" s="10">
        <v>77458</v>
      </c>
      <c r="AW108" s="10">
        <v>286822</v>
      </c>
      <c r="AX108" s="10">
        <v>34062</v>
      </c>
      <c r="AY108" s="10">
        <v>103437</v>
      </c>
      <c r="AZ108" s="10">
        <v>185623</v>
      </c>
      <c r="BA108" s="10">
        <v>845932</v>
      </c>
      <c r="BB108" s="10">
        <v>111270</v>
      </c>
      <c r="BC108" s="10">
        <v>323251</v>
      </c>
      <c r="BD108" s="10">
        <v>707497</v>
      </c>
      <c r="BE108" s="10">
        <v>2695657</v>
      </c>
      <c r="BF108" s="10">
        <v>350040</v>
      </c>
      <c r="BG108" s="10">
        <v>1198644</v>
      </c>
      <c r="BH108" s="10">
        <v>390709</v>
      </c>
      <c r="BI108" s="10">
        <v>1275324</v>
      </c>
      <c r="BJ108" s="10">
        <v>28746</v>
      </c>
      <c r="BK108" s="10">
        <v>99625</v>
      </c>
      <c r="BL108" s="63">
        <f t="shared" si="36"/>
        <v>3668914.67</v>
      </c>
      <c r="BM108" s="63">
        <f t="shared" si="37"/>
        <v>12273314.99</v>
      </c>
    </row>
    <row r="109" spans="1:65" x14ac:dyDescent="0.25">
      <c r="A109" s="20" t="s">
        <v>284</v>
      </c>
      <c r="B109" s="91">
        <v>20469</v>
      </c>
      <c r="C109" s="91">
        <v>20469</v>
      </c>
      <c r="D109" s="91">
        <v>14729</v>
      </c>
      <c r="E109" s="91">
        <v>14729</v>
      </c>
      <c r="F109" s="91">
        <v>788439</v>
      </c>
      <c r="G109" s="91">
        <v>788439</v>
      </c>
      <c r="H109" s="91">
        <v>1095920</v>
      </c>
      <c r="I109" s="91">
        <v>1095920</v>
      </c>
      <c r="J109" s="91">
        <v>53631</v>
      </c>
      <c r="K109" s="91">
        <v>53631</v>
      </c>
      <c r="L109" s="91">
        <v>700460</v>
      </c>
      <c r="M109" s="91">
        <v>700460</v>
      </c>
      <c r="N109" s="91">
        <v>-34191.46</v>
      </c>
      <c r="O109" s="91">
        <v>699296.58</v>
      </c>
      <c r="P109" s="90">
        <v>15418.9</v>
      </c>
      <c r="Q109" s="90">
        <v>15418.9</v>
      </c>
      <c r="R109" s="91">
        <v>276543.81</v>
      </c>
      <c r="S109" s="91">
        <v>276543.81</v>
      </c>
      <c r="T109" s="91">
        <v>388591</v>
      </c>
      <c r="U109" s="91">
        <v>388591</v>
      </c>
      <c r="V109" s="91">
        <v>698274</v>
      </c>
      <c r="W109" s="91">
        <v>698274</v>
      </c>
      <c r="X109" s="91">
        <v>1826206</v>
      </c>
      <c r="Y109" s="91">
        <v>1826206</v>
      </c>
      <c r="Z109" s="91">
        <v>19950</v>
      </c>
      <c r="AA109" s="91">
        <v>727766</v>
      </c>
      <c r="AB109" s="91">
        <v>48347</v>
      </c>
      <c r="AC109" s="91">
        <v>48347</v>
      </c>
      <c r="AD109" s="91">
        <v>131437</v>
      </c>
      <c r="AE109" s="91">
        <v>131437</v>
      </c>
      <c r="AF109" s="91">
        <v>200655</v>
      </c>
      <c r="AG109" s="91">
        <v>200655</v>
      </c>
      <c r="AH109" s="91">
        <v>10625.5</v>
      </c>
      <c r="AI109" s="91">
        <v>10625.5</v>
      </c>
      <c r="AJ109" s="91">
        <v>26861</v>
      </c>
      <c r="AK109" s="91">
        <v>26861</v>
      </c>
      <c r="AL109" s="91">
        <v>2024056.99</v>
      </c>
      <c r="AM109" s="91">
        <v>2024056.99</v>
      </c>
      <c r="AN109" s="91">
        <v>12805</v>
      </c>
      <c r="AO109" s="91">
        <v>12805</v>
      </c>
      <c r="AP109" s="91">
        <v>38659</v>
      </c>
      <c r="AQ109" s="91">
        <v>38659</v>
      </c>
      <c r="AR109" s="76">
        <v>782371</v>
      </c>
      <c r="AS109" s="76">
        <v>782371</v>
      </c>
      <c r="AT109" s="91">
        <v>443394</v>
      </c>
      <c r="AU109" s="91">
        <v>443394</v>
      </c>
      <c r="AV109" s="91">
        <v>428253</v>
      </c>
      <c r="AW109" s="91">
        <v>428253</v>
      </c>
      <c r="AX109" s="91">
        <v>-9563</v>
      </c>
      <c r="AY109" s="91">
        <v>754495</v>
      </c>
      <c r="AZ109" s="91">
        <v>94006</v>
      </c>
      <c r="BA109" s="91">
        <v>94006</v>
      </c>
      <c r="BB109" s="91">
        <v>863153</v>
      </c>
      <c r="BC109" s="91">
        <v>863153</v>
      </c>
      <c r="BD109" s="91">
        <v>3177380</v>
      </c>
      <c r="BE109" s="91">
        <v>3177380</v>
      </c>
      <c r="BF109" s="91">
        <v>-21886</v>
      </c>
      <c r="BG109" s="91">
        <v>1657562</v>
      </c>
      <c r="BH109" s="91">
        <v>2428939</v>
      </c>
      <c r="BI109" s="91">
        <v>2428939</v>
      </c>
      <c r="BJ109" s="91">
        <v>-1720</v>
      </c>
      <c r="BK109" s="91">
        <v>179218</v>
      </c>
      <c r="BL109" s="68">
        <f t="shared" si="36"/>
        <v>16542213.74</v>
      </c>
      <c r="BM109" s="68">
        <f t="shared" si="37"/>
        <v>20607961.780000001</v>
      </c>
    </row>
    <row r="110" spans="1:65" ht="15" customHeight="1" x14ac:dyDescent="0.25">
      <c r="A110" s="20" t="s">
        <v>285</v>
      </c>
      <c r="B110" s="91">
        <v>19698</v>
      </c>
      <c r="C110" s="91">
        <v>11353</v>
      </c>
      <c r="D110" s="91">
        <v>14335</v>
      </c>
      <c r="E110" s="91">
        <v>16215</v>
      </c>
      <c r="F110" s="91">
        <v>1056794</v>
      </c>
      <c r="G110" s="91">
        <v>709118</v>
      </c>
      <c r="H110" s="91">
        <v>1098567</v>
      </c>
      <c r="I110" s="91">
        <v>1004027</v>
      </c>
      <c r="J110" s="91">
        <v>47861</v>
      </c>
      <c r="K110" s="91">
        <v>38388</v>
      </c>
      <c r="L110" s="91">
        <v>689698</v>
      </c>
      <c r="M110" s="91">
        <v>646301</v>
      </c>
      <c r="N110" s="76"/>
      <c r="O110" s="91">
        <v>688533.46</v>
      </c>
      <c r="P110" s="90">
        <v>14751.59</v>
      </c>
      <c r="Q110" s="90">
        <v>11822.84</v>
      </c>
      <c r="R110" s="91">
        <v>280894.64</v>
      </c>
      <c r="S110" s="91">
        <v>260917.92</v>
      </c>
      <c r="T110" s="91">
        <v>346057</v>
      </c>
      <c r="U110" s="91">
        <v>214941</v>
      </c>
      <c r="V110" s="91">
        <v>-691653</v>
      </c>
      <c r="W110" s="91">
        <v>-610509</v>
      </c>
      <c r="X110" s="91">
        <v>1778797</v>
      </c>
      <c r="Y110" s="91">
        <v>1339108</v>
      </c>
      <c r="Z110" s="91"/>
      <c r="AA110" s="91">
        <v>634771</v>
      </c>
      <c r="AB110" s="91">
        <v>44880</v>
      </c>
      <c r="AC110" s="91">
        <v>36012</v>
      </c>
      <c r="AD110" s="91">
        <v>126562</v>
      </c>
      <c r="AE110" s="91">
        <v>113187</v>
      </c>
      <c r="AF110" s="91">
        <v>-192503</v>
      </c>
      <c r="AG110" s="91">
        <v>-164779</v>
      </c>
      <c r="AH110" s="91">
        <v>10495.15</v>
      </c>
      <c r="AI110" s="91">
        <v>9696.5</v>
      </c>
      <c r="AJ110" s="91">
        <v>24418</v>
      </c>
      <c r="AK110" s="91">
        <v>23118</v>
      </c>
      <c r="AL110" s="91">
        <v>2047064.91</v>
      </c>
      <c r="AM110" s="91">
        <v>1984199.43</v>
      </c>
      <c r="AN110" s="91">
        <v>-11880</v>
      </c>
      <c r="AO110" s="91">
        <v>-10227</v>
      </c>
      <c r="AP110" s="91">
        <v>38312</v>
      </c>
      <c r="AQ110" s="91">
        <v>31995</v>
      </c>
      <c r="AR110" s="76">
        <v>766989</v>
      </c>
      <c r="AS110" s="76">
        <v>651572</v>
      </c>
      <c r="AT110" s="91">
        <v>445542</v>
      </c>
      <c r="AU110" s="91">
        <v>399761</v>
      </c>
      <c r="AV110" s="91">
        <v>410041</v>
      </c>
      <c r="AW110" s="91">
        <v>347057</v>
      </c>
      <c r="AX110" s="91"/>
      <c r="AY110" s="91">
        <v>728086</v>
      </c>
      <c r="AZ110" s="91">
        <v>101149</v>
      </c>
      <c r="BA110" s="91">
        <v>85939</v>
      </c>
      <c r="BB110" s="91">
        <v>844926</v>
      </c>
      <c r="BC110" s="91">
        <v>688992</v>
      </c>
      <c r="BD110" s="91">
        <v>3163254</v>
      </c>
      <c r="BE110" s="91">
        <v>2998024</v>
      </c>
      <c r="BF110" s="91">
        <v>0</v>
      </c>
      <c r="BG110" s="91">
        <v>1566709</v>
      </c>
      <c r="BH110" s="91">
        <v>2354262</v>
      </c>
      <c r="BI110" s="91">
        <v>2354262</v>
      </c>
      <c r="BJ110" s="91"/>
      <c r="BK110" s="91">
        <v>173295</v>
      </c>
      <c r="BL110" s="68">
        <f t="shared" si="36"/>
        <v>14829312.290000001</v>
      </c>
      <c r="BM110" s="68">
        <f t="shared" si="37"/>
        <v>16981886.149999999</v>
      </c>
    </row>
    <row r="111" spans="1:65" s="7" customFormat="1" x14ac:dyDescent="0.25">
      <c r="A111" s="3" t="s">
        <v>286</v>
      </c>
      <c r="B111" s="10">
        <v>11481</v>
      </c>
      <c r="C111" s="10">
        <v>43673</v>
      </c>
      <c r="D111" s="10">
        <v>21403</v>
      </c>
      <c r="E111" s="10">
        <v>82728</v>
      </c>
      <c r="F111" s="10">
        <v>146101</v>
      </c>
      <c r="G111" s="10">
        <v>660075</v>
      </c>
      <c r="H111" s="10">
        <v>136773</v>
      </c>
      <c r="I111" s="10">
        <v>567599</v>
      </c>
      <c r="J111" s="10">
        <v>33074</v>
      </c>
      <c r="K111" s="10">
        <v>163373</v>
      </c>
      <c r="L111" s="10">
        <v>58385</v>
      </c>
      <c r="M111" s="10">
        <v>241601</v>
      </c>
      <c r="N111" s="10">
        <v>-10053.59</v>
      </c>
      <c r="O111" s="10">
        <v>54619.29</v>
      </c>
      <c r="P111" s="127">
        <v>5433.44</v>
      </c>
      <c r="Q111" s="127">
        <v>22508.14</v>
      </c>
      <c r="R111" s="10">
        <v>40935.699999999997</v>
      </c>
      <c r="S111" s="10">
        <v>168346.94</v>
      </c>
      <c r="T111" s="10">
        <v>69178</v>
      </c>
      <c r="U111" s="10">
        <v>251969</v>
      </c>
      <c r="V111" s="10">
        <v>135914</v>
      </c>
      <c r="W111" s="10">
        <v>578106</v>
      </c>
      <c r="X111" s="10">
        <v>238929</v>
      </c>
      <c r="Y111" s="10">
        <v>978190</v>
      </c>
      <c r="Z111" s="10">
        <v>136541</v>
      </c>
      <c r="AA111" s="10">
        <v>523690</v>
      </c>
      <c r="AB111" s="10">
        <v>10427</v>
      </c>
      <c r="AC111" s="10">
        <v>37144</v>
      </c>
      <c r="AD111" s="10">
        <v>22069</v>
      </c>
      <c r="AE111" s="10">
        <v>84156</v>
      </c>
      <c r="AF111" s="10">
        <v>16702</v>
      </c>
      <c r="AG111" s="10">
        <v>62764</v>
      </c>
      <c r="AH111" s="10">
        <v>14008.64</v>
      </c>
      <c r="AI111" s="10">
        <v>62838.35</v>
      </c>
      <c r="AJ111" s="10">
        <v>28092</v>
      </c>
      <c r="AK111" s="10">
        <v>108863</v>
      </c>
      <c r="AL111" s="10">
        <v>357879.93</v>
      </c>
      <c r="AM111" s="10">
        <v>1284132.9099999999</v>
      </c>
      <c r="AN111" s="10">
        <v>1988</v>
      </c>
      <c r="AO111" s="10">
        <v>5865</v>
      </c>
      <c r="AP111" s="10">
        <v>5688</v>
      </c>
      <c r="AQ111" s="10">
        <v>24122</v>
      </c>
      <c r="AR111" s="10">
        <v>95379</v>
      </c>
      <c r="AS111" s="10">
        <v>397998</v>
      </c>
      <c r="AT111" s="10">
        <v>43082</v>
      </c>
      <c r="AU111" s="10">
        <v>182839</v>
      </c>
      <c r="AV111" s="10">
        <v>95670</v>
      </c>
      <c r="AW111" s="10">
        <v>368019</v>
      </c>
      <c r="AX111" s="10">
        <v>24499</v>
      </c>
      <c r="AY111" s="10">
        <v>129847</v>
      </c>
      <c r="AZ111" s="10">
        <v>178480</v>
      </c>
      <c r="BA111" s="10">
        <v>853999</v>
      </c>
      <c r="BB111" s="10">
        <v>129497</v>
      </c>
      <c r="BC111" s="10">
        <v>497412</v>
      </c>
      <c r="BD111" s="10">
        <v>721622</v>
      </c>
      <c r="BE111" s="10">
        <v>2875014</v>
      </c>
      <c r="BF111" s="10">
        <v>328153</v>
      </c>
      <c r="BG111" s="10">
        <v>1289497</v>
      </c>
      <c r="BH111" s="10">
        <v>465387</v>
      </c>
      <c r="BI111" s="10">
        <v>1350002</v>
      </c>
      <c r="BJ111" s="10">
        <v>35038</v>
      </c>
      <c r="BK111" s="10">
        <v>105548</v>
      </c>
      <c r="BL111" s="63">
        <f t="shared" si="36"/>
        <v>3597756.12</v>
      </c>
      <c r="BM111" s="63">
        <f t="shared" si="37"/>
        <v>14056538.629999999</v>
      </c>
    </row>
  </sheetData>
  <mergeCells count="320"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L37:BM37"/>
    <mergeCell ref="AD26:AE26"/>
    <mergeCell ref="AF26:AG26"/>
    <mergeCell ref="AT37:AU37"/>
    <mergeCell ref="AV37:AW37"/>
    <mergeCell ref="AX37:AY37"/>
    <mergeCell ref="AZ37:BA37"/>
    <mergeCell ref="BB37:BC37"/>
    <mergeCell ref="B26:C26"/>
    <mergeCell ref="D26:E26"/>
    <mergeCell ref="F26:G26"/>
    <mergeCell ref="H26:I26"/>
    <mergeCell ref="J26:K26"/>
    <mergeCell ref="BL26:BM26"/>
    <mergeCell ref="B37:C37"/>
    <mergeCell ref="D37:E37"/>
    <mergeCell ref="F37:G37"/>
    <mergeCell ref="H37:I37"/>
    <mergeCell ref="AT26:AU26"/>
    <mergeCell ref="AV26:AW26"/>
    <mergeCell ref="AX26:AY26"/>
    <mergeCell ref="AZ26:BA26"/>
    <mergeCell ref="BB26:BC26"/>
    <mergeCell ref="BD26:BE26"/>
    <mergeCell ref="BJ26:BK26"/>
    <mergeCell ref="B48:C48"/>
    <mergeCell ref="D48:E48"/>
    <mergeCell ref="F48:G48"/>
    <mergeCell ref="H48:I48"/>
    <mergeCell ref="J48:K48"/>
    <mergeCell ref="BD37:BE37"/>
    <mergeCell ref="BF37:BG37"/>
    <mergeCell ref="BH37:BI37"/>
    <mergeCell ref="AF37:AG37"/>
    <mergeCell ref="AH37:AI37"/>
    <mergeCell ref="AJ37:AK37"/>
    <mergeCell ref="AL37:AM37"/>
    <mergeCell ref="AN37:AO37"/>
    <mergeCell ref="AP37:AQ37"/>
    <mergeCell ref="V37:W37"/>
    <mergeCell ref="X37:Y37"/>
    <mergeCell ref="Z37:AA37"/>
    <mergeCell ref="AB37:AC37"/>
    <mergeCell ref="AD37:AE37"/>
    <mergeCell ref="J37:K37"/>
    <mergeCell ref="BJ37:BK37"/>
    <mergeCell ref="AH26:AI26"/>
    <mergeCell ref="AJ26:AK26"/>
    <mergeCell ref="AT48:AU48"/>
    <mergeCell ref="V48:W48"/>
    <mergeCell ref="X48:Y48"/>
    <mergeCell ref="Z48:AA48"/>
    <mergeCell ref="AD48:AE48"/>
    <mergeCell ref="AF48:AG48"/>
    <mergeCell ref="L48:M48"/>
    <mergeCell ref="N48:O48"/>
    <mergeCell ref="P48:Q48"/>
    <mergeCell ref="R48:S48"/>
    <mergeCell ref="AR48:AS48"/>
    <mergeCell ref="L37:M37"/>
    <mergeCell ref="N37:O37"/>
    <mergeCell ref="AB48:AC48"/>
    <mergeCell ref="AR37:AS37"/>
    <mergeCell ref="B59:C59"/>
    <mergeCell ref="D59:E59"/>
    <mergeCell ref="F59:G59"/>
    <mergeCell ref="H59:I59"/>
    <mergeCell ref="P37:Q37"/>
    <mergeCell ref="R37:S37"/>
    <mergeCell ref="T37:U37"/>
    <mergeCell ref="AV59:AW59"/>
    <mergeCell ref="AX59:AY59"/>
    <mergeCell ref="AZ59:BA59"/>
    <mergeCell ref="BB59:BC59"/>
    <mergeCell ref="P59:Q59"/>
    <mergeCell ref="R59:S59"/>
    <mergeCell ref="T59:U59"/>
    <mergeCell ref="BJ48:BK48"/>
    <mergeCell ref="BL48:BM48"/>
    <mergeCell ref="BD48:BE48"/>
    <mergeCell ref="BJ59:BK59"/>
    <mergeCell ref="BL59:BM59"/>
    <mergeCell ref="T48:U48"/>
    <mergeCell ref="BF48:BG48"/>
    <mergeCell ref="BH48:BI48"/>
    <mergeCell ref="AV48:AW48"/>
    <mergeCell ref="AX48:AY48"/>
    <mergeCell ref="AZ48:BA48"/>
    <mergeCell ref="BB48:BC48"/>
    <mergeCell ref="AH48:AI48"/>
    <mergeCell ref="AJ48:AK48"/>
    <mergeCell ref="AL48:AM48"/>
    <mergeCell ref="AN48:AO48"/>
    <mergeCell ref="AP48:AQ48"/>
    <mergeCell ref="D70:E70"/>
    <mergeCell ref="F70:G70"/>
    <mergeCell ref="H70:I70"/>
    <mergeCell ref="J70:K70"/>
    <mergeCell ref="BD59:BE59"/>
    <mergeCell ref="BF59:BG59"/>
    <mergeCell ref="BH59:BI59"/>
    <mergeCell ref="AF59:AG59"/>
    <mergeCell ref="AH59:AI59"/>
    <mergeCell ref="AJ59:AK59"/>
    <mergeCell ref="AL59:AM59"/>
    <mergeCell ref="AN59:AO59"/>
    <mergeCell ref="AP59:AQ59"/>
    <mergeCell ref="V59:W59"/>
    <mergeCell ref="X59:Y59"/>
    <mergeCell ref="Z59:AA59"/>
    <mergeCell ref="AB59:AC59"/>
    <mergeCell ref="AD59:AE59"/>
    <mergeCell ref="J59:K59"/>
    <mergeCell ref="L59:M59"/>
    <mergeCell ref="N59:O59"/>
    <mergeCell ref="AB70:AC70"/>
    <mergeCell ref="AR59:AS59"/>
    <mergeCell ref="AT59:AU59"/>
    <mergeCell ref="B81:C81"/>
    <mergeCell ref="D81:E81"/>
    <mergeCell ref="F81:G81"/>
    <mergeCell ref="H81:I81"/>
    <mergeCell ref="AT70:AU70"/>
    <mergeCell ref="AV70:AW70"/>
    <mergeCell ref="AX70:AY70"/>
    <mergeCell ref="AZ70:BA70"/>
    <mergeCell ref="AH70:AI70"/>
    <mergeCell ref="AJ70:AK70"/>
    <mergeCell ref="AL70:AM70"/>
    <mergeCell ref="AN70:AO70"/>
    <mergeCell ref="AP70:AQ70"/>
    <mergeCell ref="AR70:AS70"/>
    <mergeCell ref="V70:W70"/>
    <mergeCell ref="X70:Y70"/>
    <mergeCell ref="Z70:AA70"/>
    <mergeCell ref="AD70:AE70"/>
    <mergeCell ref="AF70:AG70"/>
    <mergeCell ref="L70:M70"/>
    <mergeCell ref="N70:O70"/>
    <mergeCell ref="P70:Q70"/>
    <mergeCell ref="R70:S70"/>
    <mergeCell ref="B70:C70"/>
    <mergeCell ref="AZ81:BA81"/>
    <mergeCell ref="BB81:BC81"/>
    <mergeCell ref="P81:Q81"/>
    <mergeCell ref="R81:S81"/>
    <mergeCell ref="T81:U81"/>
    <mergeCell ref="BJ70:BK70"/>
    <mergeCell ref="BL70:BM70"/>
    <mergeCell ref="BB70:BC70"/>
    <mergeCell ref="BD70:BE70"/>
    <mergeCell ref="BJ81:BK81"/>
    <mergeCell ref="BL81:BM81"/>
    <mergeCell ref="T70:U70"/>
    <mergeCell ref="BF70:BG70"/>
    <mergeCell ref="BH70:BI70"/>
    <mergeCell ref="F92:G92"/>
    <mergeCell ref="H92:I92"/>
    <mergeCell ref="J92:K92"/>
    <mergeCell ref="BD81:BE81"/>
    <mergeCell ref="BF81:BG81"/>
    <mergeCell ref="BH81:BI81"/>
    <mergeCell ref="AF81:AG81"/>
    <mergeCell ref="AH81:AI81"/>
    <mergeCell ref="AJ81:AK81"/>
    <mergeCell ref="AL81:AM81"/>
    <mergeCell ref="AN81:AO81"/>
    <mergeCell ref="AP81:AQ81"/>
    <mergeCell ref="V81:W81"/>
    <mergeCell ref="X81:Y81"/>
    <mergeCell ref="Z81:AA81"/>
    <mergeCell ref="AB81:AC81"/>
    <mergeCell ref="AD81:AE81"/>
    <mergeCell ref="J81:K81"/>
    <mergeCell ref="L81:M81"/>
    <mergeCell ref="N81:O81"/>
    <mergeCell ref="AR81:AS81"/>
    <mergeCell ref="AT81:AU81"/>
    <mergeCell ref="AV81:AW81"/>
    <mergeCell ref="AX81:AY81"/>
    <mergeCell ref="BL92:BM92"/>
    <mergeCell ref="B103:C103"/>
    <mergeCell ref="D103:E103"/>
    <mergeCell ref="F103:G103"/>
    <mergeCell ref="H103:I103"/>
    <mergeCell ref="AT92:AU92"/>
    <mergeCell ref="AV92:AW92"/>
    <mergeCell ref="AX92:AY92"/>
    <mergeCell ref="AZ92:BA92"/>
    <mergeCell ref="BB92:BC92"/>
    <mergeCell ref="BD92:BE92"/>
    <mergeCell ref="AH92:AI92"/>
    <mergeCell ref="AJ92:AK92"/>
    <mergeCell ref="AL92:AM92"/>
    <mergeCell ref="AN92:AO92"/>
    <mergeCell ref="AP92:AQ92"/>
    <mergeCell ref="AR92:AS92"/>
    <mergeCell ref="V92:W92"/>
    <mergeCell ref="X92:Y92"/>
    <mergeCell ref="Z92:AA92"/>
    <mergeCell ref="AB92:AC92"/>
    <mergeCell ref="AD92:AE92"/>
    <mergeCell ref="B92:C92"/>
    <mergeCell ref="D92:E92"/>
    <mergeCell ref="J103:K103"/>
    <mergeCell ref="L103:M103"/>
    <mergeCell ref="N103:O103"/>
    <mergeCell ref="P103:Q103"/>
    <mergeCell ref="R103:S103"/>
    <mergeCell ref="T103:U103"/>
    <mergeCell ref="BF92:BG92"/>
    <mergeCell ref="BH92:BI92"/>
    <mergeCell ref="BJ92:BK92"/>
    <mergeCell ref="AF92:AG92"/>
    <mergeCell ref="L92:M92"/>
    <mergeCell ref="N92:O92"/>
    <mergeCell ref="P92:Q92"/>
    <mergeCell ref="R92:S92"/>
    <mergeCell ref="T92:U92"/>
    <mergeCell ref="AF103:AG103"/>
    <mergeCell ref="AH103:AI103"/>
    <mergeCell ref="AJ103:AK103"/>
    <mergeCell ref="AL103:AM103"/>
    <mergeCell ref="AN103:AO103"/>
    <mergeCell ref="AP103:AQ103"/>
    <mergeCell ref="V103:W103"/>
    <mergeCell ref="BL103:BM103"/>
    <mergeCell ref="AR103:AS103"/>
    <mergeCell ref="AT103:AU103"/>
    <mergeCell ref="AV103:AW103"/>
    <mergeCell ref="AX103:AY103"/>
    <mergeCell ref="AZ103:BA103"/>
    <mergeCell ref="BB103:BC103"/>
    <mergeCell ref="X103:Y103"/>
    <mergeCell ref="Z103:AA103"/>
    <mergeCell ref="AB103:AC103"/>
    <mergeCell ref="AD103:AE103"/>
    <mergeCell ref="BD103:BE103"/>
    <mergeCell ref="BF103:BG103"/>
    <mergeCell ref="BH103:BI103"/>
    <mergeCell ref="BJ103:BK10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1"/>
  <sheetViews>
    <sheetView workbookViewId="0">
      <pane xSplit="1" ySplit="4" topLeftCell="B5" activePane="bottomRight" state="frozen"/>
      <selection activeCell="AG115" activeCellId="1" sqref="AM105:AM111 AG115"/>
      <selection pane="topRight" activeCell="AG115" activeCellId="1" sqref="AM105:AM111 AG115"/>
      <selection pane="bottomLeft" activeCell="AG115" activeCellId="1" sqref="AM105:AM111 AG115"/>
      <selection pane="bottomRight" activeCell="B1" sqref="B1"/>
    </sheetView>
  </sheetViews>
  <sheetFormatPr defaultRowHeight="15" x14ac:dyDescent="0.25"/>
  <cols>
    <col min="1" max="1" width="41" style="6" bestFit="1" customWidth="1"/>
    <col min="2" max="31" width="16" style="6" customWidth="1"/>
    <col min="32" max="32" width="16" style="7" customWidth="1"/>
    <col min="33" max="65" width="16" style="6" customWidth="1"/>
    <col min="66" max="16384" width="9.140625" style="6"/>
  </cols>
  <sheetData>
    <row r="1" spans="1:65" ht="18.75" x14ac:dyDescent="0.3">
      <c r="A1" s="8" t="s">
        <v>181</v>
      </c>
    </row>
    <row r="2" spans="1:65" x14ac:dyDescent="0.25">
      <c r="A2" s="22" t="s">
        <v>98</v>
      </c>
    </row>
    <row r="3" spans="1:65" x14ac:dyDescent="0.25">
      <c r="A3" s="23" t="s">
        <v>182</v>
      </c>
    </row>
    <row r="4" spans="1:65" x14ac:dyDescent="0.25">
      <c r="A4" s="3" t="s">
        <v>0</v>
      </c>
      <c r="B4" s="154" t="s">
        <v>1</v>
      </c>
      <c r="C4" s="155"/>
      <c r="D4" s="154" t="s">
        <v>234</v>
      </c>
      <c r="E4" s="155"/>
      <c r="F4" s="154" t="s">
        <v>2</v>
      </c>
      <c r="G4" s="155"/>
      <c r="H4" s="154" t="s">
        <v>3</v>
      </c>
      <c r="I4" s="155"/>
      <c r="J4" s="154" t="s">
        <v>243</v>
      </c>
      <c r="K4" s="155"/>
      <c r="L4" s="154" t="s">
        <v>235</v>
      </c>
      <c r="M4" s="155"/>
      <c r="N4" s="154" t="s">
        <v>5</v>
      </c>
      <c r="O4" s="155"/>
      <c r="P4" s="154" t="s">
        <v>4</v>
      </c>
      <c r="Q4" s="155"/>
      <c r="R4" s="154" t="s">
        <v>6</v>
      </c>
      <c r="S4" s="155"/>
      <c r="T4" s="154" t="s">
        <v>246</v>
      </c>
      <c r="U4" s="155"/>
      <c r="V4" s="154" t="s">
        <v>7</v>
      </c>
      <c r="W4" s="155"/>
      <c r="X4" s="154" t="s">
        <v>8</v>
      </c>
      <c r="Y4" s="155"/>
      <c r="Z4" s="154" t="s">
        <v>9</v>
      </c>
      <c r="AA4" s="155"/>
      <c r="AB4" s="154" t="s">
        <v>242</v>
      </c>
      <c r="AC4" s="155"/>
      <c r="AD4" s="154" t="s">
        <v>10</v>
      </c>
      <c r="AE4" s="155"/>
      <c r="AF4" s="154" t="s">
        <v>11</v>
      </c>
      <c r="AG4" s="155"/>
      <c r="AH4" s="154" t="s">
        <v>236</v>
      </c>
      <c r="AI4" s="155"/>
      <c r="AJ4" s="154" t="s">
        <v>245</v>
      </c>
      <c r="AK4" s="155"/>
      <c r="AL4" s="154" t="s">
        <v>12</v>
      </c>
      <c r="AM4" s="155"/>
      <c r="AN4" s="154" t="s">
        <v>237</v>
      </c>
      <c r="AO4" s="155"/>
      <c r="AP4" s="154" t="s">
        <v>238</v>
      </c>
      <c r="AQ4" s="155"/>
      <c r="AR4" s="154" t="s">
        <v>241</v>
      </c>
      <c r="AS4" s="155"/>
      <c r="AT4" s="154" t="s">
        <v>13</v>
      </c>
      <c r="AU4" s="155"/>
      <c r="AV4" s="154" t="s">
        <v>14</v>
      </c>
      <c r="AW4" s="155"/>
      <c r="AX4" s="154" t="s">
        <v>15</v>
      </c>
      <c r="AY4" s="155"/>
      <c r="AZ4" s="154" t="s">
        <v>16</v>
      </c>
      <c r="BA4" s="155"/>
      <c r="BB4" s="154" t="s">
        <v>17</v>
      </c>
      <c r="BC4" s="155"/>
      <c r="BD4" s="154" t="s">
        <v>239</v>
      </c>
      <c r="BE4" s="155"/>
      <c r="BF4" s="154" t="s">
        <v>240</v>
      </c>
      <c r="BG4" s="155"/>
      <c r="BH4" s="154" t="s">
        <v>18</v>
      </c>
      <c r="BI4" s="155"/>
      <c r="BJ4" s="154" t="s">
        <v>19</v>
      </c>
      <c r="BK4" s="155"/>
      <c r="BL4" s="156" t="s">
        <v>20</v>
      </c>
      <c r="BM4" s="157"/>
    </row>
    <row r="5" spans="1:65" ht="30" x14ac:dyDescent="0.25">
      <c r="A5" s="3"/>
      <c r="B5" s="53" t="s">
        <v>300</v>
      </c>
      <c r="C5" s="54" t="s">
        <v>301</v>
      </c>
      <c r="D5" s="53" t="s">
        <v>300</v>
      </c>
      <c r="E5" s="54" t="s">
        <v>301</v>
      </c>
      <c r="F5" s="53" t="s">
        <v>300</v>
      </c>
      <c r="G5" s="54" t="s">
        <v>301</v>
      </c>
      <c r="H5" s="53" t="s">
        <v>300</v>
      </c>
      <c r="I5" s="54" t="s">
        <v>301</v>
      </c>
      <c r="J5" s="53" t="s">
        <v>300</v>
      </c>
      <c r="K5" s="54" t="s">
        <v>301</v>
      </c>
      <c r="L5" s="53" t="s">
        <v>300</v>
      </c>
      <c r="M5" s="54" t="s">
        <v>301</v>
      </c>
      <c r="N5" s="53" t="s">
        <v>300</v>
      </c>
      <c r="O5" s="54" t="s">
        <v>301</v>
      </c>
      <c r="P5" s="53" t="s">
        <v>300</v>
      </c>
      <c r="Q5" s="54" t="s">
        <v>301</v>
      </c>
      <c r="R5" s="53" t="s">
        <v>300</v>
      </c>
      <c r="S5" s="54" t="s">
        <v>301</v>
      </c>
      <c r="T5" s="53" t="s">
        <v>300</v>
      </c>
      <c r="U5" s="54" t="s">
        <v>301</v>
      </c>
      <c r="V5" s="53" t="s">
        <v>300</v>
      </c>
      <c r="W5" s="54" t="s">
        <v>301</v>
      </c>
      <c r="X5" s="53" t="s">
        <v>300</v>
      </c>
      <c r="Y5" s="54" t="s">
        <v>301</v>
      </c>
      <c r="Z5" s="53" t="s">
        <v>300</v>
      </c>
      <c r="AA5" s="54" t="s">
        <v>301</v>
      </c>
      <c r="AB5" s="53" t="s">
        <v>300</v>
      </c>
      <c r="AC5" s="54" t="s">
        <v>301</v>
      </c>
      <c r="AD5" s="53" t="s">
        <v>300</v>
      </c>
      <c r="AE5" s="54" t="s">
        <v>301</v>
      </c>
      <c r="AF5" s="53" t="s">
        <v>300</v>
      </c>
      <c r="AG5" s="54" t="s">
        <v>301</v>
      </c>
      <c r="AH5" s="53" t="s">
        <v>300</v>
      </c>
      <c r="AI5" s="54" t="s">
        <v>301</v>
      </c>
      <c r="AJ5" s="53" t="s">
        <v>300</v>
      </c>
      <c r="AK5" s="54" t="s">
        <v>301</v>
      </c>
      <c r="AL5" s="53" t="s">
        <v>300</v>
      </c>
      <c r="AM5" s="54" t="s">
        <v>301</v>
      </c>
      <c r="AN5" s="53" t="s">
        <v>300</v>
      </c>
      <c r="AO5" s="54" t="s">
        <v>301</v>
      </c>
      <c r="AP5" s="53" t="s">
        <v>300</v>
      </c>
      <c r="AQ5" s="54" t="s">
        <v>301</v>
      </c>
      <c r="AR5" s="53" t="s">
        <v>300</v>
      </c>
      <c r="AS5" s="54" t="s">
        <v>301</v>
      </c>
      <c r="AT5" s="53" t="s">
        <v>300</v>
      </c>
      <c r="AU5" s="54" t="s">
        <v>301</v>
      </c>
      <c r="AV5" s="53" t="s">
        <v>300</v>
      </c>
      <c r="AW5" s="54" t="s">
        <v>301</v>
      </c>
      <c r="AX5" s="53" t="s">
        <v>300</v>
      </c>
      <c r="AY5" s="54" t="s">
        <v>301</v>
      </c>
      <c r="AZ5" s="53" t="s">
        <v>300</v>
      </c>
      <c r="BA5" s="54" t="s">
        <v>301</v>
      </c>
      <c r="BB5" s="53" t="s">
        <v>300</v>
      </c>
      <c r="BC5" s="54" t="s">
        <v>301</v>
      </c>
      <c r="BD5" s="53" t="s">
        <v>300</v>
      </c>
      <c r="BE5" s="54" t="s">
        <v>301</v>
      </c>
      <c r="BF5" s="53" t="s">
        <v>300</v>
      </c>
      <c r="BG5" s="54" t="s">
        <v>301</v>
      </c>
      <c r="BH5" s="53" t="s">
        <v>300</v>
      </c>
      <c r="BI5" s="54" t="s">
        <v>301</v>
      </c>
      <c r="BJ5" s="53" t="s">
        <v>300</v>
      </c>
      <c r="BK5" s="54" t="s">
        <v>301</v>
      </c>
      <c r="BL5" s="104" t="s">
        <v>300</v>
      </c>
      <c r="BM5" s="105" t="s">
        <v>301</v>
      </c>
    </row>
    <row r="6" spans="1:65" x14ac:dyDescent="0.25">
      <c r="A6" s="24" t="s">
        <v>287</v>
      </c>
      <c r="B6" s="9"/>
      <c r="C6" s="9"/>
      <c r="D6" s="9"/>
      <c r="E6" s="9"/>
      <c r="F6" s="9"/>
      <c r="G6" s="9"/>
      <c r="H6" s="91">
        <v>3495</v>
      </c>
      <c r="I6" s="91">
        <v>13049</v>
      </c>
      <c r="J6" s="76"/>
      <c r="K6" s="76"/>
      <c r="L6" s="91">
        <v>1297</v>
      </c>
      <c r="M6" s="91">
        <v>8420</v>
      </c>
      <c r="N6" s="76"/>
      <c r="O6" s="76"/>
      <c r="P6" s="91">
        <v>17.48</v>
      </c>
      <c r="Q6" s="91">
        <v>174.02</v>
      </c>
      <c r="R6" s="91">
        <v>913.97</v>
      </c>
      <c r="S6" s="91">
        <v>3730.36</v>
      </c>
      <c r="T6" s="91">
        <v>66</v>
      </c>
      <c r="U6" s="91">
        <v>1909</v>
      </c>
      <c r="V6" s="91">
        <v>2511</v>
      </c>
      <c r="W6" s="91">
        <v>10544</v>
      </c>
      <c r="X6" s="91">
        <v>2658</v>
      </c>
      <c r="Y6" s="91">
        <v>14907</v>
      </c>
      <c r="Z6" s="91">
        <v>1429</v>
      </c>
      <c r="AA6" s="91">
        <v>7095</v>
      </c>
      <c r="AB6" s="91">
        <v>70.94</v>
      </c>
      <c r="AC6" s="91">
        <v>327.66000000000003</v>
      </c>
      <c r="AD6" s="91">
        <v>128</v>
      </c>
      <c r="AE6" s="91">
        <v>128</v>
      </c>
      <c r="AF6" s="69">
        <v>399</v>
      </c>
      <c r="AG6" s="91">
        <v>1222</v>
      </c>
      <c r="AH6" s="9"/>
      <c r="AI6" s="9"/>
      <c r="AJ6" s="9"/>
      <c r="AK6" s="9"/>
      <c r="AL6" s="76"/>
      <c r="AM6" s="76"/>
      <c r="AN6" s="91">
        <v>137</v>
      </c>
      <c r="AO6" s="91">
        <v>267</v>
      </c>
      <c r="AP6" s="91">
        <v>39</v>
      </c>
      <c r="AQ6" s="91">
        <v>162</v>
      </c>
      <c r="AR6" s="9">
        <v>243</v>
      </c>
      <c r="AS6" s="9">
        <v>6396</v>
      </c>
      <c r="AT6" s="91">
        <v>468</v>
      </c>
      <c r="AU6" s="91">
        <v>2589</v>
      </c>
      <c r="AV6" s="91">
        <v>3686</v>
      </c>
      <c r="AW6" s="91">
        <v>12240</v>
      </c>
      <c r="AX6" s="91">
        <v>103</v>
      </c>
      <c r="AY6" s="91">
        <v>428</v>
      </c>
      <c r="AZ6" s="9"/>
      <c r="BA6" s="9"/>
      <c r="BB6" s="91">
        <v>3066</v>
      </c>
      <c r="BC6" s="91">
        <v>13169</v>
      </c>
      <c r="BD6" s="91"/>
      <c r="BE6" s="76"/>
      <c r="BF6" s="91">
        <v>3444</v>
      </c>
      <c r="BG6" s="91">
        <v>13824</v>
      </c>
      <c r="BH6" s="9"/>
      <c r="BI6" s="9"/>
      <c r="BJ6" s="91">
        <v>437</v>
      </c>
      <c r="BK6" s="91">
        <v>1722</v>
      </c>
      <c r="BL6" s="68">
        <f>SUM(B6+D6+F6+H6+J6+L6+N6+P6+R6+T6+V6+X6+Z6+AB6+AD6+AF6+AH6+AJ6+AL6+AN6+AP6+AR6+AT6+AV6+AX6+AZ6+BB6+BD6+BF6+BH6+BJ6)</f>
        <v>24608.39</v>
      </c>
      <c r="BM6" s="68">
        <f>SUM(C6+E6+G6+I6+K6+M6+O6+Q6+S6+U6+W6+Y6+AA6+AC6+AE6+AG6+AI6+AK6+AM6+AO6+AQ6+AS6+AU6+AW6+AY6+BA6+BC6+BE6+BG6+BI6+BK6)</f>
        <v>112303.04000000001</v>
      </c>
    </row>
    <row r="7" spans="1:65" s="71" customFormat="1" x14ac:dyDescent="0.25">
      <c r="A7" s="24" t="s">
        <v>288</v>
      </c>
      <c r="B7" s="91"/>
      <c r="C7" s="91"/>
      <c r="D7" s="91"/>
      <c r="E7" s="91"/>
      <c r="F7" s="91"/>
      <c r="G7" s="91"/>
      <c r="H7" s="91">
        <v>285</v>
      </c>
      <c r="I7" s="91">
        <v>1650</v>
      </c>
      <c r="J7" s="91"/>
      <c r="K7" s="91"/>
      <c r="L7" s="91">
        <v>93</v>
      </c>
      <c r="M7" s="91">
        <v>373</v>
      </c>
      <c r="N7" s="91"/>
      <c r="O7" s="91"/>
      <c r="P7" s="91">
        <v>22.64</v>
      </c>
      <c r="Q7" s="91">
        <v>36.86</v>
      </c>
      <c r="R7" s="91">
        <v>204.5</v>
      </c>
      <c r="S7" s="91">
        <v>514.67999999999995</v>
      </c>
      <c r="T7" s="91">
        <v>123</v>
      </c>
      <c r="U7" s="91">
        <v>624</v>
      </c>
      <c r="V7" s="91">
        <v>536</v>
      </c>
      <c r="W7" s="91">
        <v>2402</v>
      </c>
      <c r="X7" s="91">
        <v>500</v>
      </c>
      <c r="Y7" s="91">
        <v>3750</v>
      </c>
      <c r="Z7" s="91">
        <v>323</v>
      </c>
      <c r="AA7" s="91">
        <v>1618</v>
      </c>
      <c r="AB7" s="91">
        <v>8.11</v>
      </c>
      <c r="AC7" s="91">
        <v>37.270000000000003</v>
      </c>
      <c r="AD7" s="91">
        <v>92</v>
      </c>
      <c r="AE7" s="91">
        <v>92</v>
      </c>
      <c r="AF7" s="69">
        <v>65</v>
      </c>
      <c r="AG7" s="91">
        <v>283</v>
      </c>
      <c r="AH7" s="91"/>
      <c r="AI7" s="91"/>
      <c r="AJ7" s="91"/>
      <c r="AK7" s="91"/>
      <c r="AL7" s="91"/>
      <c r="AM7" s="91"/>
      <c r="AN7" s="91"/>
      <c r="AO7" s="91"/>
      <c r="AP7" s="91">
        <v>4</v>
      </c>
      <c r="AQ7" s="91">
        <v>25</v>
      </c>
      <c r="AR7" s="91">
        <v>161</v>
      </c>
      <c r="AS7" s="91">
        <v>1411</v>
      </c>
      <c r="AT7" s="91">
        <v>154</v>
      </c>
      <c r="AU7" s="91">
        <v>791</v>
      </c>
      <c r="AV7" s="91">
        <v>402</v>
      </c>
      <c r="AW7" s="91">
        <v>1577</v>
      </c>
      <c r="AX7" s="91">
        <v>7</v>
      </c>
      <c r="AY7" s="91">
        <v>53</v>
      </c>
      <c r="AZ7" s="91"/>
      <c r="BA7" s="91"/>
      <c r="BB7" s="91">
        <v>682</v>
      </c>
      <c r="BC7" s="91">
        <v>2536</v>
      </c>
      <c r="BD7" s="91"/>
      <c r="BE7" s="91"/>
      <c r="BF7" s="91">
        <v>747</v>
      </c>
      <c r="BG7" s="91">
        <v>2482</v>
      </c>
      <c r="BH7" s="91"/>
      <c r="BI7" s="91"/>
      <c r="BJ7" s="91">
        <v>-96</v>
      </c>
      <c r="BK7" s="91">
        <v>205</v>
      </c>
      <c r="BL7" s="68">
        <f t="shared" ref="BL7:BL12" si="0">SUM(B7+D7+F7+H7+J7+L7+N7+P7+R7+T7+V7+X7+Z7+AB7+AD7+AF7+AH7+AJ7+AL7+AN7+AP7+AR7+AT7+AV7+AX7+AZ7+BB7+BD7+BF7+BH7+BJ7)</f>
        <v>4313.25</v>
      </c>
      <c r="BM7" s="68">
        <f t="shared" ref="BM7:BM12" si="1">SUM(C7+E7+G7+I7+K7+M7+O7+Q7+S7+U7+W7+Y7+AA7+AC7+AE7+AG7+AI7+AK7+AM7+AO7+AQ7+AS7+AU7+AW7+AY7+BA7+BC7+BE7+BG7+BI7+BK7)</f>
        <v>20460.810000000001</v>
      </c>
    </row>
    <row r="8" spans="1:65" s="71" customFormat="1" x14ac:dyDescent="0.25">
      <c r="A8" s="24" t="s">
        <v>289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69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>
        <v>0</v>
      </c>
      <c r="BD8" s="91"/>
      <c r="BE8" s="91"/>
      <c r="BF8" s="91">
        <v>0</v>
      </c>
      <c r="BG8" s="91">
        <v>0</v>
      </c>
      <c r="BH8" s="91"/>
      <c r="BI8" s="91"/>
      <c r="BJ8" s="91"/>
      <c r="BK8" s="91"/>
      <c r="BL8" s="68">
        <f t="shared" si="0"/>
        <v>0</v>
      </c>
      <c r="BM8" s="68">
        <f t="shared" si="1"/>
        <v>0</v>
      </c>
    </row>
    <row r="9" spans="1:65" s="7" customFormat="1" x14ac:dyDescent="0.25">
      <c r="A9" s="10" t="s">
        <v>290</v>
      </c>
      <c r="B9" s="10"/>
      <c r="C9" s="10"/>
      <c r="D9" s="10"/>
      <c r="E9" s="10"/>
      <c r="F9" s="10"/>
      <c r="G9" s="10"/>
      <c r="H9" s="10">
        <v>3780</v>
      </c>
      <c r="I9" s="10">
        <v>14699</v>
      </c>
      <c r="J9" s="10"/>
      <c r="K9" s="10"/>
      <c r="L9" s="10">
        <v>1390</v>
      </c>
      <c r="M9" s="10">
        <v>8792</v>
      </c>
      <c r="N9" s="10"/>
      <c r="O9" s="10"/>
      <c r="P9" s="10">
        <v>40.119999999999997</v>
      </c>
      <c r="Q9" s="10">
        <v>210.88</v>
      </c>
      <c r="R9" s="10">
        <v>1118.47</v>
      </c>
      <c r="S9" s="10">
        <v>4245.04</v>
      </c>
      <c r="T9" s="10">
        <v>189</v>
      </c>
      <c r="U9" s="10">
        <v>2534</v>
      </c>
      <c r="V9" s="10">
        <v>3047</v>
      </c>
      <c r="W9" s="10">
        <v>12946</v>
      </c>
      <c r="X9" s="10">
        <v>3158</v>
      </c>
      <c r="Y9" s="10">
        <v>18657</v>
      </c>
      <c r="Z9" s="10">
        <v>1752</v>
      </c>
      <c r="AA9" s="10">
        <v>8713</v>
      </c>
      <c r="AB9" s="10">
        <v>79.05</v>
      </c>
      <c r="AC9" s="10">
        <v>364.93</v>
      </c>
      <c r="AD9" s="10">
        <v>220</v>
      </c>
      <c r="AE9" s="10">
        <v>220</v>
      </c>
      <c r="AF9" s="10">
        <v>464</v>
      </c>
      <c r="AG9" s="10">
        <v>1505</v>
      </c>
      <c r="AH9" s="10"/>
      <c r="AI9" s="10"/>
      <c r="AJ9" s="10"/>
      <c r="AK9" s="10"/>
      <c r="AL9" s="10">
        <v>2733</v>
      </c>
      <c r="AM9" s="10">
        <v>10012</v>
      </c>
      <c r="AN9" s="10">
        <v>137</v>
      </c>
      <c r="AO9" s="10">
        <v>267</v>
      </c>
      <c r="AP9" s="10">
        <v>43</v>
      </c>
      <c r="AQ9" s="10">
        <v>187</v>
      </c>
      <c r="AR9" s="10">
        <v>904</v>
      </c>
      <c r="AS9" s="10">
        <v>2808</v>
      </c>
      <c r="AT9" s="10">
        <v>622</v>
      </c>
      <c r="AU9" s="10">
        <v>3379</v>
      </c>
      <c r="AV9" s="10">
        <v>4088</v>
      </c>
      <c r="AW9" s="10">
        <v>13817</v>
      </c>
      <c r="AX9" s="10">
        <v>111</v>
      </c>
      <c r="AY9" s="10">
        <v>481</v>
      </c>
      <c r="AZ9" s="10"/>
      <c r="BA9" s="10"/>
      <c r="BB9" s="10">
        <v>3748</v>
      </c>
      <c r="BC9" s="10">
        <v>15705</v>
      </c>
      <c r="BD9" s="10">
        <v>13879</v>
      </c>
      <c r="BE9" s="10">
        <v>55287</v>
      </c>
      <c r="BF9" s="10">
        <v>4191</v>
      </c>
      <c r="BG9" s="10">
        <v>16305</v>
      </c>
      <c r="BH9" s="10">
        <v>4342</v>
      </c>
      <c r="BI9" s="10">
        <v>17423</v>
      </c>
      <c r="BJ9" s="10">
        <v>341</v>
      </c>
      <c r="BK9" s="10">
        <v>1927</v>
      </c>
      <c r="BL9" s="63">
        <f t="shared" si="0"/>
        <v>50376.639999999999</v>
      </c>
      <c r="BM9" s="63">
        <f t="shared" si="1"/>
        <v>210484.84999999998</v>
      </c>
    </row>
    <row r="10" spans="1:65" x14ac:dyDescent="0.25">
      <c r="A10" s="24" t="s">
        <v>291</v>
      </c>
      <c r="B10" s="9"/>
      <c r="C10" s="9"/>
      <c r="D10" s="9"/>
      <c r="E10" s="9"/>
      <c r="F10" s="9"/>
      <c r="G10" s="9"/>
      <c r="H10" s="91">
        <v>368</v>
      </c>
      <c r="I10" s="91">
        <v>1075</v>
      </c>
      <c r="J10" s="76"/>
      <c r="K10" s="76"/>
      <c r="L10" s="91">
        <v>21</v>
      </c>
      <c r="M10" s="91">
        <v>64</v>
      </c>
      <c r="N10" s="76"/>
      <c r="O10" s="76"/>
      <c r="P10" s="91">
        <v>30.42</v>
      </c>
      <c r="Q10" s="91">
        <v>113.61</v>
      </c>
      <c r="R10" s="91">
        <v>32.119999999999997</v>
      </c>
      <c r="S10" s="91">
        <v>487.73</v>
      </c>
      <c r="T10" s="91">
        <v>679</v>
      </c>
      <c r="U10" s="91">
        <v>3751</v>
      </c>
      <c r="V10" s="91">
        <v>197</v>
      </c>
      <c r="W10" s="91">
        <v>1539</v>
      </c>
      <c r="X10" s="91">
        <v>521</v>
      </c>
      <c r="Y10" s="91">
        <v>1836</v>
      </c>
      <c r="Z10" s="91">
        <v>227</v>
      </c>
      <c r="AA10" s="91">
        <v>859</v>
      </c>
      <c r="AB10" s="91">
        <v>22.96</v>
      </c>
      <c r="AC10" s="91">
        <v>77.010000000000005</v>
      </c>
      <c r="AD10" s="91">
        <v>20</v>
      </c>
      <c r="AE10" s="91">
        <v>20</v>
      </c>
      <c r="AF10" s="69">
        <v>51</v>
      </c>
      <c r="AG10" s="91">
        <v>428</v>
      </c>
      <c r="AH10" s="9"/>
      <c r="AI10" s="9"/>
      <c r="AJ10" s="9"/>
      <c r="AK10" s="9"/>
      <c r="AL10" s="91">
        <v>652</v>
      </c>
      <c r="AM10" s="91">
        <v>2655</v>
      </c>
      <c r="AN10" s="91">
        <v>5</v>
      </c>
      <c r="AO10" s="91">
        <v>15</v>
      </c>
      <c r="AP10" s="91">
        <v>14</v>
      </c>
      <c r="AQ10" s="91">
        <v>94</v>
      </c>
      <c r="AR10" s="9">
        <v>189</v>
      </c>
      <c r="AS10" s="9">
        <v>603</v>
      </c>
      <c r="AT10" s="91">
        <v>183</v>
      </c>
      <c r="AU10" s="91">
        <v>902</v>
      </c>
      <c r="AV10" s="91">
        <v>38</v>
      </c>
      <c r="AW10" s="91">
        <v>123</v>
      </c>
      <c r="AX10" s="91">
        <v>44</v>
      </c>
      <c r="AY10" s="91">
        <v>146</v>
      </c>
      <c r="AZ10" s="9"/>
      <c r="BA10" s="9"/>
      <c r="BB10" s="91">
        <v>177</v>
      </c>
      <c r="BC10" s="91">
        <v>1062</v>
      </c>
      <c r="BD10" s="91">
        <v>5210</v>
      </c>
      <c r="BE10" s="91">
        <v>19426</v>
      </c>
      <c r="BF10" s="91">
        <v>687</v>
      </c>
      <c r="BG10" s="91">
        <v>2701</v>
      </c>
      <c r="BH10" s="91">
        <v>1259</v>
      </c>
      <c r="BI10" s="91">
        <v>3307</v>
      </c>
      <c r="BJ10" s="91">
        <v>67</v>
      </c>
      <c r="BK10" s="91">
        <v>117</v>
      </c>
      <c r="BL10" s="68">
        <f t="shared" si="0"/>
        <v>10694.5</v>
      </c>
      <c r="BM10" s="68">
        <f t="shared" si="1"/>
        <v>41401.35</v>
      </c>
    </row>
    <row r="11" spans="1:65" x14ac:dyDescent="0.25">
      <c r="A11" s="24" t="s">
        <v>292</v>
      </c>
      <c r="B11" s="76"/>
      <c r="C11" s="76"/>
      <c r="D11" s="9"/>
      <c r="E11" s="9"/>
      <c r="F11" s="9"/>
      <c r="G11" s="9"/>
      <c r="H11" s="91">
        <v>-8859</v>
      </c>
      <c r="I11" s="91">
        <v>-41565</v>
      </c>
      <c r="J11" s="76"/>
      <c r="K11" s="76"/>
      <c r="L11" s="91">
        <v>3926</v>
      </c>
      <c r="M11" s="91">
        <v>13663</v>
      </c>
      <c r="N11" s="76"/>
      <c r="O11" s="76"/>
      <c r="P11" s="91">
        <v>48.83</v>
      </c>
      <c r="Q11" s="91">
        <v>309.91000000000003</v>
      </c>
      <c r="R11" s="91">
        <v>1427.5</v>
      </c>
      <c r="S11" s="91">
        <v>7183.36</v>
      </c>
      <c r="T11" s="91">
        <v>-1522</v>
      </c>
      <c r="U11" s="91">
        <v>-9024</v>
      </c>
      <c r="V11" s="91">
        <v>-7502</v>
      </c>
      <c r="W11" s="91">
        <v>-27261</v>
      </c>
      <c r="X11" s="91">
        <v>10133</v>
      </c>
      <c r="Y11" s="91">
        <v>38408</v>
      </c>
      <c r="Z11" s="91">
        <v>3442</v>
      </c>
      <c r="AA11" s="91">
        <v>16123</v>
      </c>
      <c r="AB11" s="91">
        <v>304.69</v>
      </c>
      <c r="AC11" s="91">
        <v>785.82</v>
      </c>
      <c r="AD11" s="91">
        <v>719</v>
      </c>
      <c r="AE11" s="91">
        <v>719</v>
      </c>
      <c r="AF11" s="69">
        <v>-785</v>
      </c>
      <c r="AG11" s="91">
        <v>-2325</v>
      </c>
      <c r="AH11" s="9"/>
      <c r="AI11" s="9"/>
      <c r="AJ11" s="9"/>
      <c r="AK11" s="9"/>
      <c r="AL11" s="91">
        <v>689</v>
      </c>
      <c r="AM11" s="91">
        <v>2445</v>
      </c>
      <c r="AN11" s="91">
        <v>-120</v>
      </c>
      <c r="AO11" s="91">
        <v>-127</v>
      </c>
      <c r="AP11" s="91">
        <v>53</v>
      </c>
      <c r="AQ11" s="91">
        <v>293</v>
      </c>
      <c r="AR11" s="9">
        <v>6306</v>
      </c>
      <c r="AS11" s="9">
        <v>15536</v>
      </c>
      <c r="AT11" s="91">
        <v>1400</v>
      </c>
      <c r="AU11" s="91">
        <v>5494</v>
      </c>
      <c r="AV11" s="91">
        <v>6425</v>
      </c>
      <c r="AW11" s="91">
        <v>30958</v>
      </c>
      <c r="AX11" s="91">
        <v>59</v>
      </c>
      <c r="AY11" s="91">
        <v>228</v>
      </c>
      <c r="AZ11" s="9"/>
      <c r="BA11" s="9"/>
      <c r="BB11" s="91">
        <v>5749</v>
      </c>
      <c r="BC11" s="91">
        <v>26520</v>
      </c>
      <c r="BD11" s="91">
        <v>9486</v>
      </c>
      <c r="BE11" s="91">
        <v>29430</v>
      </c>
      <c r="BF11" s="91">
        <v>1781</v>
      </c>
      <c r="BG11" s="91">
        <v>8515</v>
      </c>
      <c r="BH11" s="91">
        <v>3796</v>
      </c>
      <c r="BI11" s="91">
        <v>8099</v>
      </c>
      <c r="BJ11" s="91">
        <v>315</v>
      </c>
      <c r="BK11" s="91">
        <v>1435</v>
      </c>
      <c r="BL11" s="68">
        <f t="shared" si="0"/>
        <v>37272.020000000004</v>
      </c>
      <c r="BM11" s="68">
        <f t="shared" si="1"/>
        <v>125843.09</v>
      </c>
    </row>
    <row r="12" spans="1:65" s="7" customFormat="1" x14ac:dyDescent="0.25">
      <c r="A12" s="10" t="s">
        <v>190</v>
      </c>
      <c r="B12" s="10"/>
      <c r="C12" s="10"/>
      <c r="D12" s="10"/>
      <c r="E12" s="10"/>
      <c r="F12" s="10"/>
      <c r="G12" s="10"/>
      <c r="H12" s="10">
        <v>-4711</v>
      </c>
      <c r="I12" s="10">
        <v>-25791</v>
      </c>
      <c r="J12" s="10"/>
      <c r="K12" s="10"/>
      <c r="L12" s="10">
        <v>-2516</v>
      </c>
      <c r="M12" s="10">
        <v>-4807</v>
      </c>
      <c r="N12" s="10"/>
      <c r="O12" s="10"/>
      <c r="P12" s="10">
        <v>21.71</v>
      </c>
      <c r="Q12" s="10">
        <v>14.58</v>
      </c>
      <c r="R12" s="10">
        <v>-276.91000000000003</v>
      </c>
      <c r="S12" s="10">
        <v>-2450.58</v>
      </c>
      <c r="T12" s="10">
        <v>-654</v>
      </c>
      <c r="U12" s="10">
        <v>-2740</v>
      </c>
      <c r="V12" s="10">
        <v>-4258</v>
      </c>
      <c r="W12" s="10">
        <v>-12776</v>
      </c>
      <c r="X12" s="10">
        <v>-6454</v>
      </c>
      <c r="Y12" s="10">
        <v>-17915</v>
      </c>
      <c r="Z12" s="10">
        <v>-1463</v>
      </c>
      <c r="AA12" s="10">
        <v>-6551</v>
      </c>
      <c r="AB12" s="10">
        <v>-202.68</v>
      </c>
      <c r="AC12" s="10">
        <v>-343.88</v>
      </c>
      <c r="AD12" s="10">
        <v>-478</v>
      </c>
      <c r="AE12" s="10">
        <v>-478</v>
      </c>
      <c r="AF12" s="10">
        <v>-270</v>
      </c>
      <c r="AG12" s="10">
        <v>-392</v>
      </c>
      <c r="AH12" s="10"/>
      <c r="AI12" s="10"/>
      <c r="AJ12" s="10"/>
      <c r="AK12" s="10"/>
      <c r="AL12" s="10">
        <v>2695</v>
      </c>
      <c r="AM12" s="10">
        <v>10223</v>
      </c>
      <c r="AN12" s="10">
        <v>22</v>
      </c>
      <c r="AO12" s="10">
        <v>155</v>
      </c>
      <c r="AP12" s="10">
        <v>4</v>
      </c>
      <c r="AQ12" s="10">
        <v>-11</v>
      </c>
      <c r="AR12" s="10">
        <v>-5314</v>
      </c>
      <c r="AS12" s="10">
        <v>-7125</v>
      </c>
      <c r="AT12" s="10">
        <v>-595</v>
      </c>
      <c r="AU12" s="10">
        <v>-1213</v>
      </c>
      <c r="AV12" s="10">
        <v>-2300</v>
      </c>
      <c r="AW12" s="10">
        <v>-17018</v>
      </c>
      <c r="AX12" s="10">
        <v>96</v>
      </c>
      <c r="AY12" s="10">
        <v>400</v>
      </c>
      <c r="AZ12" s="10"/>
      <c r="BA12" s="10"/>
      <c r="BB12" s="10">
        <v>-1823</v>
      </c>
      <c r="BC12" s="10">
        <v>-9754</v>
      </c>
      <c r="BD12" s="10">
        <v>9602</v>
      </c>
      <c r="BE12" s="10">
        <v>45282</v>
      </c>
      <c r="BF12" s="10">
        <v>3096</v>
      </c>
      <c r="BG12" s="10">
        <v>10491</v>
      </c>
      <c r="BH12" s="10">
        <v>1805</v>
      </c>
      <c r="BI12" s="10">
        <v>12632</v>
      </c>
      <c r="BJ12" s="10">
        <v>92</v>
      </c>
      <c r="BK12" s="10">
        <v>609</v>
      </c>
      <c r="BL12" s="63">
        <f t="shared" si="0"/>
        <v>-13881.880000000001</v>
      </c>
      <c r="BM12" s="63">
        <f t="shared" si="1"/>
        <v>-29558.880000000005</v>
      </c>
    </row>
    <row r="13" spans="1:65" x14ac:dyDescent="0.25">
      <c r="A13" s="22"/>
    </row>
    <row r="14" spans="1:65" x14ac:dyDescent="0.25">
      <c r="A14" s="23" t="s">
        <v>183</v>
      </c>
    </row>
    <row r="15" spans="1:65" x14ac:dyDescent="0.25">
      <c r="A15" s="3" t="s">
        <v>0</v>
      </c>
      <c r="B15" s="154" t="s">
        <v>1</v>
      </c>
      <c r="C15" s="155"/>
      <c r="D15" s="154" t="s">
        <v>234</v>
      </c>
      <c r="E15" s="155"/>
      <c r="F15" s="154" t="s">
        <v>2</v>
      </c>
      <c r="G15" s="155"/>
      <c r="H15" s="154" t="s">
        <v>3</v>
      </c>
      <c r="I15" s="155"/>
      <c r="J15" s="154" t="s">
        <v>243</v>
      </c>
      <c r="K15" s="155"/>
      <c r="L15" s="154" t="s">
        <v>235</v>
      </c>
      <c r="M15" s="155"/>
      <c r="N15" s="154" t="s">
        <v>5</v>
      </c>
      <c r="O15" s="155"/>
      <c r="P15" s="154" t="s">
        <v>4</v>
      </c>
      <c r="Q15" s="155"/>
      <c r="R15" s="154" t="s">
        <v>6</v>
      </c>
      <c r="S15" s="155"/>
      <c r="T15" s="154" t="s">
        <v>246</v>
      </c>
      <c r="U15" s="155"/>
      <c r="V15" s="154" t="s">
        <v>7</v>
      </c>
      <c r="W15" s="155"/>
      <c r="X15" s="154" t="s">
        <v>8</v>
      </c>
      <c r="Y15" s="155"/>
      <c r="Z15" s="154" t="s">
        <v>9</v>
      </c>
      <c r="AA15" s="155"/>
      <c r="AB15" s="154" t="s">
        <v>242</v>
      </c>
      <c r="AC15" s="155"/>
      <c r="AD15" s="154" t="s">
        <v>10</v>
      </c>
      <c r="AE15" s="155"/>
      <c r="AF15" s="154" t="s">
        <v>11</v>
      </c>
      <c r="AG15" s="155"/>
      <c r="AH15" s="154" t="s">
        <v>236</v>
      </c>
      <c r="AI15" s="155"/>
      <c r="AJ15" s="154" t="s">
        <v>245</v>
      </c>
      <c r="AK15" s="155"/>
      <c r="AL15" s="154" t="s">
        <v>12</v>
      </c>
      <c r="AM15" s="155"/>
      <c r="AN15" s="154" t="s">
        <v>237</v>
      </c>
      <c r="AO15" s="155"/>
      <c r="AP15" s="154" t="s">
        <v>238</v>
      </c>
      <c r="AQ15" s="155"/>
      <c r="AR15" s="154" t="s">
        <v>241</v>
      </c>
      <c r="AS15" s="155"/>
      <c r="AT15" s="154" t="s">
        <v>13</v>
      </c>
      <c r="AU15" s="155"/>
      <c r="AV15" s="154" t="s">
        <v>14</v>
      </c>
      <c r="AW15" s="155"/>
      <c r="AX15" s="154" t="s">
        <v>15</v>
      </c>
      <c r="AY15" s="155"/>
      <c r="AZ15" s="154" t="s">
        <v>16</v>
      </c>
      <c r="BA15" s="155"/>
      <c r="BB15" s="154" t="s">
        <v>17</v>
      </c>
      <c r="BC15" s="155"/>
      <c r="BD15" s="154" t="s">
        <v>239</v>
      </c>
      <c r="BE15" s="155"/>
      <c r="BF15" s="154" t="s">
        <v>240</v>
      </c>
      <c r="BG15" s="155"/>
      <c r="BH15" s="154" t="s">
        <v>18</v>
      </c>
      <c r="BI15" s="155"/>
      <c r="BJ15" s="154" t="s">
        <v>19</v>
      </c>
      <c r="BK15" s="155"/>
      <c r="BL15" s="156" t="s">
        <v>20</v>
      </c>
      <c r="BM15" s="157"/>
    </row>
    <row r="16" spans="1:65" ht="30" x14ac:dyDescent="0.25">
      <c r="A16" s="3"/>
      <c r="B16" s="53" t="s">
        <v>300</v>
      </c>
      <c r="C16" s="54" t="s">
        <v>301</v>
      </c>
      <c r="D16" s="53" t="s">
        <v>300</v>
      </c>
      <c r="E16" s="54" t="s">
        <v>301</v>
      </c>
      <c r="F16" s="53" t="s">
        <v>300</v>
      </c>
      <c r="G16" s="54" t="s">
        <v>301</v>
      </c>
      <c r="H16" s="53" t="s">
        <v>300</v>
      </c>
      <c r="I16" s="54" t="s">
        <v>301</v>
      </c>
      <c r="J16" s="53" t="s">
        <v>300</v>
      </c>
      <c r="K16" s="54" t="s">
        <v>301</v>
      </c>
      <c r="L16" s="53" t="s">
        <v>300</v>
      </c>
      <c r="M16" s="54" t="s">
        <v>301</v>
      </c>
      <c r="N16" s="53" t="s">
        <v>300</v>
      </c>
      <c r="O16" s="54" t="s">
        <v>301</v>
      </c>
      <c r="P16" s="53" t="s">
        <v>300</v>
      </c>
      <c r="Q16" s="54" t="s">
        <v>301</v>
      </c>
      <c r="R16" s="53" t="s">
        <v>300</v>
      </c>
      <c r="S16" s="54" t="s">
        <v>301</v>
      </c>
      <c r="T16" s="53" t="s">
        <v>300</v>
      </c>
      <c r="U16" s="54" t="s">
        <v>301</v>
      </c>
      <c r="V16" s="53" t="s">
        <v>300</v>
      </c>
      <c r="W16" s="54" t="s">
        <v>301</v>
      </c>
      <c r="X16" s="53" t="s">
        <v>300</v>
      </c>
      <c r="Y16" s="54" t="s">
        <v>301</v>
      </c>
      <c r="Z16" s="53" t="s">
        <v>300</v>
      </c>
      <c r="AA16" s="54" t="s">
        <v>301</v>
      </c>
      <c r="AB16" s="53" t="s">
        <v>300</v>
      </c>
      <c r="AC16" s="54" t="s">
        <v>301</v>
      </c>
      <c r="AD16" s="53" t="s">
        <v>300</v>
      </c>
      <c r="AE16" s="54" t="s">
        <v>301</v>
      </c>
      <c r="AF16" s="53" t="s">
        <v>300</v>
      </c>
      <c r="AG16" s="54" t="s">
        <v>301</v>
      </c>
      <c r="AH16" s="53" t="s">
        <v>300</v>
      </c>
      <c r="AI16" s="54" t="s">
        <v>301</v>
      </c>
      <c r="AJ16" s="53" t="s">
        <v>300</v>
      </c>
      <c r="AK16" s="54" t="s">
        <v>301</v>
      </c>
      <c r="AL16" s="53" t="s">
        <v>300</v>
      </c>
      <c r="AM16" s="54" t="s">
        <v>301</v>
      </c>
      <c r="AN16" s="53" t="s">
        <v>300</v>
      </c>
      <c r="AO16" s="54" t="s">
        <v>301</v>
      </c>
      <c r="AP16" s="53" t="s">
        <v>300</v>
      </c>
      <c r="AQ16" s="54" t="s">
        <v>301</v>
      </c>
      <c r="AR16" s="53" t="s">
        <v>300</v>
      </c>
      <c r="AS16" s="54" t="s">
        <v>301</v>
      </c>
      <c r="AT16" s="53" t="s">
        <v>300</v>
      </c>
      <c r="AU16" s="54" t="s">
        <v>301</v>
      </c>
      <c r="AV16" s="53" t="s">
        <v>300</v>
      </c>
      <c r="AW16" s="54" t="s">
        <v>301</v>
      </c>
      <c r="AX16" s="53" t="s">
        <v>300</v>
      </c>
      <c r="AY16" s="54" t="s">
        <v>301</v>
      </c>
      <c r="AZ16" s="53" t="s">
        <v>300</v>
      </c>
      <c r="BA16" s="54" t="s">
        <v>301</v>
      </c>
      <c r="BB16" s="53" t="s">
        <v>300</v>
      </c>
      <c r="BC16" s="54" t="s">
        <v>301</v>
      </c>
      <c r="BD16" s="53" t="s">
        <v>300</v>
      </c>
      <c r="BE16" s="54" t="s">
        <v>301</v>
      </c>
      <c r="BF16" s="53" t="s">
        <v>300</v>
      </c>
      <c r="BG16" s="54" t="s">
        <v>301</v>
      </c>
      <c r="BH16" s="53" t="s">
        <v>300</v>
      </c>
      <c r="BI16" s="54" t="s">
        <v>301</v>
      </c>
      <c r="BJ16" s="53" t="s">
        <v>300</v>
      </c>
      <c r="BK16" s="54" t="s">
        <v>301</v>
      </c>
      <c r="BL16" s="104" t="s">
        <v>300</v>
      </c>
      <c r="BM16" s="105" t="s">
        <v>301</v>
      </c>
    </row>
    <row r="17" spans="1:65" x14ac:dyDescent="0.25">
      <c r="A17" s="24" t="s">
        <v>287</v>
      </c>
      <c r="B17" s="9"/>
      <c r="C17" s="9"/>
      <c r="D17" s="9"/>
      <c r="E17" s="9"/>
      <c r="F17" s="9"/>
      <c r="G17" s="9"/>
      <c r="H17" s="91">
        <v>498</v>
      </c>
      <c r="I17" s="91">
        <v>1766</v>
      </c>
      <c r="J17" s="76"/>
      <c r="K17" s="76"/>
      <c r="L17" s="91">
        <v>244</v>
      </c>
      <c r="M17" s="91">
        <v>901</v>
      </c>
      <c r="N17" s="76"/>
      <c r="O17" s="76"/>
      <c r="P17" s="91">
        <v>19.03</v>
      </c>
      <c r="Q17" s="91">
        <v>48.28</v>
      </c>
      <c r="R17" s="91">
        <v>248.74</v>
      </c>
      <c r="S17" s="91">
        <v>248.74</v>
      </c>
      <c r="T17" s="91">
        <v>9</v>
      </c>
      <c r="U17" s="91">
        <v>39</v>
      </c>
      <c r="V17" s="91">
        <v>399</v>
      </c>
      <c r="W17" s="91">
        <v>1727</v>
      </c>
      <c r="X17" s="91">
        <v>1104</v>
      </c>
      <c r="Y17" s="91">
        <v>5027</v>
      </c>
      <c r="Z17" s="91">
        <v>472</v>
      </c>
      <c r="AA17" s="91">
        <v>1944</v>
      </c>
      <c r="AB17" s="91">
        <v>33.28</v>
      </c>
      <c r="AC17" s="91">
        <v>74.150000000000006</v>
      </c>
      <c r="AD17" s="91">
        <v>143</v>
      </c>
      <c r="AE17" s="91">
        <v>566</v>
      </c>
      <c r="AF17" s="69">
        <v>65</v>
      </c>
      <c r="AG17" s="91">
        <v>164</v>
      </c>
      <c r="AH17" s="9"/>
      <c r="AI17" s="9"/>
      <c r="AJ17" s="9"/>
      <c r="AK17" s="9"/>
      <c r="AL17" s="9"/>
      <c r="AM17" s="9"/>
      <c r="AN17" s="76"/>
      <c r="AO17" s="76"/>
      <c r="AP17" s="9"/>
      <c r="AQ17" s="9"/>
      <c r="AR17" s="9">
        <v>166</v>
      </c>
      <c r="AS17" s="9">
        <v>871</v>
      </c>
      <c r="AT17" s="91">
        <v>216</v>
      </c>
      <c r="AU17" s="91">
        <v>540</v>
      </c>
      <c r="AV17" s="91">
        <v>194</v>
      </c>
      <c r="AW17" s="91">
        <v>790</v>
      </c>
      <c r="AX17" s="91">
        <v>3</v>
      </c>
      <c r="AY17" s="91">
        <v>12</v>
      </c>
      <c r="AZ17" s="9"/>
      <c r="BA17" s="9"/>
      <c r="BB17" s="91">
        <v>1761</v>
      </c>
      <c r="BC17" s="91">
        <v>6315</v>
      </c>
      <c r="BD17" s="76"/>
      <c r="BE17" s="76"/>
      <c r="BF17" s="91">
        <v>838</v>
      </c>
      <c r="BG17" s="91">
        <v>3296</v>
      </c>
      <c r="BH17" s="9"/>
      <c r="BI17" s="9"/>
      <c r="BJ17" s="91">
        <v>51</v>
      </c>
      <c r="BK17" s="91">
        <v>156</v>
      </c>
      <c r="BL17" s="68">
        <f t="shared" ref="BL17:BL23" si="2">SUM(B17+D17+F17+H17+J17+L17+N17+P17+R17+T17+V17+X17+Z17+AB17+AD17+AF17+AH17+AJ17+AL17+AN17+AP17+AR17+AT17+AV17+AX17+AZ17+BB17+BD17+BF17+BH17+BJ17)</f>
        <v>6464.05</v>
      </c>
      <c r="BM17" s="68">
        <f t="shared" ref="BM17:BM23" si="3">SUM(C17+E17+G17+I17+K17+M17+O17+Q17+S17+U17+W17+Y17+AA17+AC17+AE17+AG17+AI17+AK17+AM17+AO17+AQ17+AS17+AU17+AW17+AY17+BA17+BC17+BE17+BG17+BI17+BK17)</f>
        <v>24485.17</v>
      </c>
    </row>
    <row r="18" spans="1:65" s="71" customFormat="1" x14ac:dyDescent="0.25">
      <c r="A18" s="24" t="s">
        <v>288</v>
      </c>
      <c r="B18" s="91"/>
      <c r="C18" s="91"/>
      <c r="D18" s="91"/>
      <c r="E18" s="91"/>
      <c r="F18" s="91"/>
      <c r="G18" s="91"/>
      <c r="H18" s="91">
        <v>53</v>
      </c>
      <c r="I18" s="91">
        <v>67</v>
      </c>
      <c r="J18" s="91"/>
      <c r="K18" s="91"/>
      <c r="L18" s="91">
        <v>30</v>
      </c>
      <c r="M18" s="91">
        <v>88</v>
      </c>
      <c r="N18" s="91"/>
      <c r="O18" s="91"/>
      <c r="P18" s="91">
        <v>0.11</v>
      </c>
      <c r="Q18" s="91">
        <v>0.45</v>
      </c>
      <c r="R18" s="91">
        <v>-39.76</v>
      </c>
      <c r="S18" s="91">
        <v>-39.76</v>
      </c>
      <c r="T18" s="91">
        <v>3</v>
      </c>
      <c r="U18" s="91">
        <v>10</v>
      </c>
      <c r="V18" s="91">
        <v>58</v>
      </c>
      <c r="W18" s="91">
        <v>167</v>
      </c>
      <c r="X18" s="91">
        <v>143</v>
      </c>
      <c r="Y18" s="91">
        <v>692</v>
      </c>
      <c r="Z18" s="91">
        <v>179</v>
      </c>
      <c r="AA18" s="91">
        <v>767</v>
      </c>
      <c r="AB18" s="91">
        <v>9.9499999999999993</v>
      </c>
      <c r="AC18" s="91">
        <v>21.8</v>
      </c>
      <c r="AD18" s="91">
        <v>24</v>
      </c>
      <c r="AE18" s="91">
        <v>106</v>
      </c>
      <c r="AF18" s="69">
        <v>0</v>
      </c>
      <c r="AG18" s="91">
        <v>1</v>
      </c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>
        <v>48</v>
      </c>
      <c r="AS18" s="91">
        <v>204</v>
      </c>
      <c r="AT18" s="91">
        <v>35</v>
      </c>
      <c r="AU18" s="91">
        <v>165</v>
      </c>
      <c r="AV18" s="91">
        <v>58</v>
      </c>
      <c r="AW18" s="91">
        <v>253</v>
      </c>
      <c r="AX18" s="91">
        <v>0</v>
      </c>
      <c r="AY18" s="91">
        <v>2</v>
      </c>
      <c r="AZ18" s="91"/>
      <c r="BA18" s="91"/>
      <c r="BB18" s="91">
        <v>268</v>
      </c>
      <c r="BC18" s="91">
        <v>1020</v>
      </c>
      <c r="BD18" s="91"/>
      <c r="BE18" s="91"/>
      <c r="BF18" s="91">
        <v>165</v>
      </c>
      <c r="BG18" s="91">
        <v>459</v>
      </c>
      <c r="BH18" s="91"/>
      <c r="BI18" s="91"/>
      <c r="BJ18" s="91">
        <v>3</v>
      </c>
      <c r="BK18" s="91">
        <v>35</v>
      </c>
      <c r="BL18" s="68">
        <f t="shared" si="2"/>
        <v>1037.3</v>
      </c>
      <c r="BM18" s="68">
        <f t="shared" si="3"/>
        <v>4018.49</v>
      </c>
    </row>
    <row r="19" spans="1:65" s="71" customFormat="1" x14ac:dyDescent="0.25">
      <c r="A19" s="24" t="s">
        <v>289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69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>
        <v>0</v>
      </c>
      <c r="BG19" s="91">
        <v>0</v>
      </c>
      <c r="BH19" s="91"/>
      <c r="BI19" s="91"/>
      <c r="BJ19" s="91"/>
      <c r="BK19" s="91"/>
      <c r="BL19" s="68">
        <f t="shared" si="2"/>
        <v>0</v>
      </c>
      <c r="BM19" s="68">
        <f t="shared" si="3"/>
        <v>0</v>
      </c>
    </row>
    <row r="20" spans="1:65" s="7" customFormat="1" x14ac:dyDescent="0.25">
      <c r="A20" s="10" t="s">
        <v>290</v>
      </c>
      <c r="B20" s="10"/>
      <c r="C20" s="10"/>
      <c r="D20" s="10"/>
      <c r="E20" s="10"/>
      <c r="F20" s="10"/>
      <c r="G20" s="10"/>
      <c r="H20" s="10">
        <v>551</v>
      </c>
      <c r="I20" s="10">
        <v>1833</v>
      </c>
      <c r="J20" s="10"/>
      <c r="K20" s="10"/>
      <c r="L20" s="10">
        <v>274</v>
      </c>
      <c r="M20" s="10">
        <v>989</v>
      </c>
      <c r="N20" s="10"/>
      <c r="O20" s="10"/>
      <c r="P20" s="10">
        <v>19.14</v>
      </c>
      <c r="Q20" s="10">
        <v>48.73</v>
      </c>
      <c r="R20" s="10">
        <v>208.98</v>
      </c>
      <c r="S20" s="10">
        <v>208.98</v>
      </c>
      <c r="T20" s="10">
        <v>12</v>
      </c>
      <c r="U20" s="10">
        <v>50</v>
      </c>
      <c r="V20" s="10">
        <v>457</v>
      </c>
      <c r="W20" s="10">
        <v>1893</v>
      </c>
      <c r="X20" s="10">
        <v>1247</v>
      </c>
      <c r="Y20" s="10">
        <v>5719</v>
      </c>
      <c r="Z20" s="10">
        <v>651</v>
      </c>
      <c r="AA20" s="10">
        <v>2711</v>
      </c>
      <c r="AB20" s="10">
        <v>43.23</v>
      </c>
      <c r="AC20" s="10">
        <v>95.95</v>
      </c>
      <c r="AD20" s="10">
        <v>167</v>
      </c>
      <c r="AE20" s="10">
        <v>671</v>
      </c>
      <c r="AF20" s="10">
        <v>66</v>
      </c>
      <c r="AG20" s="10">
        <v>165</v>
      </c>
      <c r="AH20" s="10"/>
      <c r="AI20" s="10"/>
      <c r="AJ20" s="10"/>
      <c r="AK20" s="10"/>
      <c r="AL20" s="10">
        <v>586</v>
      </c>
      <c r="AM20" s="10">
        <v>2115</v>
      </c>
      <c r="AN20" s="10"/>
      <c r="AO20" s="10"/>
      <c r="AP20" s="10"/>
      <c r="AQ20" s="10"/>
      <c r="AR20" s="10">
        <v>214</v>
      </c>
      <c r="AS20" s="10">
        <v>1076</v>
      </c>
      <c r="AT20" s="10">
        <v>251</v>
      </c>
      <c r="AU20" s="10">
        <v>706</v>
      </c>
      <c r="AV20" s="10">
        <v>251</v>
      </c>
      <c r="AW20" s="10">
        <v>1043</v>
      </c>
      <c r="AX20" s="10">
        <v>3</v>
      </c>
      <c r="AY20" s="10">
        <v>13</v>
      </c>
      <c r="AZ20" s="10"/>
      <c r="BA20" s="10"/>
      <c r="BB20" s="10">
        <v>2029</v>
      </c>
      <c r="BC20" s="10">
        <v>7335</v>
      </c>
      <c r="BD20" s="10">
        <v>2141</v>
      </c>
      <c r="BE20" s="10">
        <v>9057</v>
      </c>
      <c r="BF20" s="10">
        <v>1003</v>
      </c>
      <c r="BG20" s="10">
        <v>3755</v>
      </c>
      <c r="BH20" s="10">
        <v>793</v>
      </c>
      <c r="BI20" s="10">
        <v>2999</v>
      </c>
      <c r="BJ20" s="10">
        <v>54</v>
      </c>
      <c r="BK20" s="10">
        <v>191</v>
      </c>
      <c r="BL20" s="63">
        <f t="shared" si="2"/>
        <v>11021.35</v>
      </c>
      <c r="BM20" s="63">
        <f t="shared" si="3"/>
        <v>42674.66</v>
      </c>
    </row>
    <row r="21" spans="1:65" x14ac:dyDescent="0.25">
      <c r="A21" s="24" t="s">
        <v>291</v>
      </c>
      <c r="B21" s="9"/>
      <c r="C21" s="9"/>
      <c r="D21" s="9"/>
      <c r="E21" s="9"/>
      <c r="F21" s="9"/>
      <c r="G21" s="9"/>
      <c r="H21" s="91"/>
      <c r="I21" s="91"/>
      <c r="J21" s="76"/>
      <c r="K21" s="76"/>
      <c r="L21" s="91"/>
      <c r="M21" s="91"/>
      <c r="N21" s="76"/>
      <c r="O21" s="76"/>
      <c r="P21" s="91"/>
      <c r="Q21" s="91"/>
      <c r="R21" s="91">
        <v>2.31</v>
      </c>
      <c r="S21" s="91">
        <v>2.31</v>
      </c>
      <c r="T21" s="91">
        <v>14</v>
      </c>
      <c r="U21" s="91">
        <v>35</v>
      </c>
      <c r="V21" s="91">
        <v>17</v>
      </c>
      <c r="W21" s="91">
        <v>86</v>
      </c>
      <c r="X21" s="91">
        <v>38</v>
      </c>
      <c r="Y21" s="91">
        <v>212</v>
      </c>
      <c r="Z21" s="91">
        <v>2</v>
      </c>
      <c r="AA21" s="91">
        <v>13</v>
      </c>
      <c r="AB21" s="91"/>
      <c r="AC21" s="91">
        <v>1.07</v>
      </c>
      <c r="AD21" s="91"/>
      <c r="AE21" s="91">
        <v>2</v>
      </c>
      <c r="AF21" s="69">
        <v>6</v>
      </c>
      <c r="AG21" s="91">
        <v>24</v>
      </c>
      <c r="AH21" s="9"/>
      <c r="AI21" s="9"/>
      <c r="AJ21" s="9"/>
      <c r="AK21" s="9"/>
      <c r="AL21" s="91">
        <v>109</v>
      </c>
      <c r="AM21" s="91">
        <v>231</v>
      </c>
      <c r="AN21" s="76"/>
      <c r="AO21" s="76"/>
      <c r="AP21" s="9"/>
      <c r="AQ21" s="9"/>
      <c r="AR21" s="9"/>
      <c r="AS21" s="9">
        <v>5</v>
      </c>
      <c r="AT21" s="91">
        <v>0</v>
      </c>
      <c r="AU21" s="91">
        <v>0</v>
      </c>
      <c r="AV21" s="91">
        <v>19</v>
      </c>
      <c r="AW21" s="91">
        <v>60</v>
      </c>
      <c r="AX21" s="91"/>
      <c r="AY21" s="91"/>
      <c r="AZ21" s="9"/>
      <c r="BA21" s="9"/>
      <c r="BB21" s="91">
        <v>438</v>
      </c>
      <c r="BC21" s="91">
        <v>681</v>
      </c>
      <c r="BD21" s="91">
        <v>702</v>
      </c>
      <c r="BE21" s="91">
        <v>1202</v>
      </c>
      <c r="BF21" s="91">
        <v>147</v>
      </c>
      <c r="BG21" s="91">
        <v>251</v>
      </c>
      <c r="BH21" s="91">
        <v>142</v>
      </c>
      <c r="BI21" s="91">
        <v>170</v>
      </c>
      <c r="BJ21" s="91">
        <v>0</v>
      </c>
      <c r="BK21" s="91">
        <v>0</v>
      </c>
      <c r="BL21" s="68">
        <f t="shared" si="2"/>
        <v>1636.31</v>
      </c>
      <c r="BM21" s="68">
        <f t="shared" si="3"/>
        <v>2975.38</v>
      </c>
    </row>
    <row r="22" spans="1:65" x14ac:dyDescent="0.25">
      <c r="A22" s="24" t="s">
        <v>292</v>
      </c>
      <c r="B22" s="9"/>
      <c r="C22" s="9"/>
      <c r="D22" s="9"/>
      <c r="E22" s="9"/>
      <c r="F22" s="9"/>
      <c r="G22" s="9"/>
      <c r="H22" s="91">
        <v>-144</v>
      </c>
      <c r="I22" s="91">
        <v>-548</v>
      </c>
      <c r="J22" s="76"/>
      <c r="K22" s="76"/>
      <c r="L22" s="91">
        <v>358</v>
      </c>
      <c r="M22" s="91">
        <v>1156</v>
      </c>
      <c r="N22" s="76"/>
      <c r="O22" s="76"/>
      <c r="P22" s="91">
        <v>20.309999999999999</v>
      </c>
      <c r="Q22" s="91">
        <v>46.6</v>
      </c>
      <c r="R22" s="91">
        <v>41.86</v>
      </c>
      <c r="S22" s="91">
        <v>41.86</v>
      </c>
      <c r="T22" s="91">
        <v>-56</v>
      </c>
      <c r="U22" s="91">
        <v>-342</v>
      </c>
      <c r="V22" s="91">
        <v>-98</v>
      </c>
      <c r="W22" s="91">
        <v>-317</v>
      </c>
      <c r="X22" s="91">
        <v>452</v>
      </c>
      <c r="Y22" s="91">
        <v>1291</v>
      </c>
      <c r="Z22" s="91">
        <v>552</v>
      </c>
      <c r="AA22" s="91">
        <v>1976</v>
      </c>
      <c r="AB22" s="91">
        <v>26.55</v>
      </c>
      <c r="AC22" s="91">
        <v>60.28</v>
      </c>
      <c r="AD22" s="91">
        <v>14</v>
      </c>
      <c r="AE22" s="91">
        <v>35</v>
      </c>
      <c r="AF22" s="69">
        <v>-146</v>
      </c>
      <c r="AG22" s="91">
        <v>-309</v>
      </c>
      <c r="AH22" s="9"/>
      <c r="AI22" s="9"/>
      <c r="AJ22" s="9"/>
      <c r="AK22" s="9"/>
      <c r="AL22" s="91">
        <v>308</v>
      </c>
      <c r="AM22" s="91">
        <v>1300</v>
      </c>
      <c r="AN22" s="76"/>
      <c r="AO22" s="76"/>
      <c r="AP22" s="9"/>
      <c r="AQ22" s="9"/>
      <c r="AR22" s="9">
        <v>311</v>
      </c>
      <c r="AS22" s="9">
        <v>1284</v>
      </c>
      <c r="AT22" s="91">
        <v>87</v>
      </c>
      <c r="AU22" s="91">
        <v>373</v>
      </c>
      <c r="AV22" s="91">
        <v>27</v>
      </c>
      <c r="AW22" s="91">
        <v>108</v>
      </c>
      <c r="AX22" s="91">
        <v>-5</v>
      </c>
      <c r="AY22" s="91">
        <v>3</v>
      </c>
      <c r="AZ22" s="9"/>
      <c r="BA22" s="9"/>
      <c r="BB22" s="91">
        <v>577</v>
      </c>
      <c r="BC22" s="91">
        <v>1382</v>
      </c>
      <c r="BD22" s="91">
        <v>495</v>
      </c>
      <c r="BE22" s="91">
        <v>2085</v>
      </c>
      <c r="BF22" s="91">
        <v>403</v>
      </c>
      <c r="BG22" s="91">
        <v>1383</v>
      </c>
      <c r="BH22" s="91">
        <v>87</v>
      </c>
      <c r="BI22" s="91">
        <v>541</v>
      </c>
      <c r="BJ22" s="91">
        <v>104</v>
      </c>
      <c r="BK22" s="91">
        <v>374</v>
      </c>
      <c r="BL22" s="68">
        <f t="shared" si="2"/>
        <v>3414.7200000000003</v>
      </c>
      <c r="BM22" s="68">
        <f t="shared" si="3"/>
        <v>11923.74</v>
      </c>
    </row>
    <row r="23" spans="1:65" s="7" customFormat="1" x14ac:dyDescent="0.25">
      <c r="A23" s="10" t="s">
        <v>190</v>
      </c>
      <c r="B23" s="10"/>
      <c r="C23" s="10"/>
      <c r="D23" s="10"/>
      <c r="E23" s="10"/>
      <c r="F23" s="10"/>
      <c r="G23" s="10"/>
      <c r="H23" s="10">
        <v>407</v>
      </c>
      <c r="I23" s="10">
        <v>1285</v>
      </c>
      <c r="J23" s="10"/>
      <c r="K23" s="10"/>
      <c r="L23" s="10">
        <v>-84</v>
      </c>
      <c r="M23" s="10">
        <v>-167</v>
      </c>
      <c r="N23" s="10"/>
      <c r="O23" s="10"/>
      <c r="P23" s="10">
        <v>-1.17</v>
      </c>
      <c r="Q23" s="10">
        <v>2.13</v>
      </c>
      <c r="R23" s="10">
        <v>169.43</v>
      </c>
      <c r="S23" s="10">
        <v>169.43</v>
      </c>
      <c r="T23" s="10">
        <v>-30</v>
      </c>
      <c r="U23" s="10">
        <v>-257</v>
      </c>
      <c r="V23" s="10">
        <v>377</v>
      </c>
      <c r="W23" s="10">
        <v>1662</v>
      </c>
      <c r="X23" s="10">
        <v>833</v>
      </c>
      <c r="Y23" s="10">
        <v>4640</v>
      </c>
      <c r="Z23" s="10">
        <v>101</v>
      </c>
      <c r="AA23" s="10">
        <v>748</v>
      </c>
      <c r="AB23" s="10">
        <v>16.68</v>
      </c>
      <c r="AC23" s="10">
        <v>36.74</v>
      </c>
      <c r="AD23" s="10">
        <v>153</v>
      </c>
      <c r="AE23" s="10">
        <v>639</v>
      </c>
      <c r="AF23" s="10">
        <v>-75</v>
      </c>
      <c r="AG23" s="10">
        <v>-121</v>
      </c>
      <c r="AH23" s="10"/>
      <c r="AI23" s="10"/>
      <c r="AJ23" s="10"/>
      <c r="AK23" s="10"/>
      <c r="AL23" s="10">
        <v>386</v>
      </c>
      <c r="AM23" s="10">
        <v>1046</v>
      </c>
      <c r="AN23" s="10"/>
      <c r="AO23" s="10"/>
      <c r="AP23" s="10"/>
      <c r="AQ23" s="10"/>
      <c r="AR23" s="10">
        <v>-97</v>
      </c>
      <c r="AS23" s="10">
        <v>-203</v>
      </c>
      <c r="AT23" s="10">
        <v>164</v>
      </c>
      <c r="AU23" s="10">
        <v>332</v>
      </c>
      <c r="AV23" s="10">
        <v>244</v>
      </c>
      <c r="AW23" s="10">
        <v>994</v>
      </c>
      <c r="AX23" s="10">
        <v>8</v>
      </c>
      <c r="AY23" s="10">
        <v>10</v>
      </c>
      <c r="AZ23" s="10"/>
      <c r="BA23" s="10"/>
      <c r="BB23" s="10">
        <v>1889</v>
      </c>
      <c r="BC23" s="10">
        <v>6635</v>
      </c>
      <c r="BD23" s="10">
        <v>2348</v>
      </c>
      <c r="BE23" s="10">
        <v>8173</v>
      </c>
      <c r="BF23" s="10">
        <v>747</v>
      </c>
      <c r="BG23" s="10">
        <v>2624</v>
      </c>
      <c r="BH23" s="10">
        <v>848</v>
      </c>
      <c r="BI23" s="10">
        <v>2629</v>
      </c>
      <c r="BJ23" s="10">
        <v>-50</v>
      </c>
      <c r="BK23" s="10">
        <v>-183</v>
      </c>
      <c r="BL23" s="63">
        <f t="shared" si="2"/>
        <v>8353.94</v>
      </c>
      <c r="BM23" s="63">
        <f t="shared" si="3"/>
        <v>30694.3</v>
      </c>
    </row>
    <row r="24" spans="1:65" x14ac:dyDescent="0.25">
      <c r="A24" s="22"/>
    </row>
    <row r="25" spans="1:65" x14ac:dyDescent="0.25">
      <c r="A25" s="23" t="s">
        <v>184</v>
      </c>
    </row>
    <row r="26" spans="1:65" x14ac:dyDescent="0.25">
      <c r="A26" s="3" t="s">
        <v>0</v>
      </c>
      <c r="B26" s="154" t="s">
        <v>1</v>
      </c>
      <c r="C26" s="155"/>
      <c r="D26" s="154" t="s">
        <v>234</v>
      </c>
      <c r="E26" s="155"/>
      <c r="F26" s="154" t="s">
        <v>2</v>
      </c>
      <c r="G26" s="155"/>
      <c r="H26" s="154" t="s">
        <v>3</v>
      </c>
      <c r="I26" s="155"/>
      <c r="J26" s="154" t="s">
        <v>243</v>
      </c>
      <c r="K26" s="155"/>
      <c r="L26" s="154" t="s">
        <v>235</v>
      </c>
      <c r="M26" s="155"/>
      <c r="N26" s="154" t="s">
        <v>5</v>
      </c>
      <c r="O26" s="155"/>
      <c r="P26" s="154" t="s">
        <v>4</v>
      </c>
      <c r="Q26" s="155"/>
      <c r="R26" s="154" t="s">
        <v>6</v>
      </c>
      <c r="S26" s="155"/>
      <c r="T26" s="154" t="s">
        <v>246</v>
      </c>
      <c r="U26" s="155"/>
      <c r="V26" s="154" t="s">
        <v>7</v>
      </c>
      <c r="W26" s="155"/>
      <c r="X26" s="154" t="s">
        <v>8</v>
      </c>
      <c r="Y26" s="155"/>
      <c r="Z26" s="154" t="s">
        <v>9</v>
      </c>
      <c r="AA26" s="155"/>
      <c r="AB26" s="154" t="s">
        <v>242</v>
      </c>
      <c r="AC26" s="155"/>
      <c r="AD26" s="154" t="s">
        <v>10</v>
      </c>
      <c r="AE26" s="155"/>
      <c r="AF26" s="154" t="s">
        <v>11</v>
      </c>
      <c r="AG26" s="155"/>
      <c r="AH26" s="154" t="s">
        <v>236</v>
      </c>
      <c r="AI26" s="155"/>
      <c r="AJ26" s="154" t="s">
        <v>245</v>
      </c>
      <c r="AK26" s="155"/>
      <c r="AL26" s="154" t="s">
        <v>12</v>
      </c>
      <c r="AM26" s="155"/>
      <c r="AN26" s="154" t="s">
        <v>237</v>
      </c>
      <c r="AO26" s="155"/>
      <c r="AP26" s="154" t="s">
        <v>238</v>
      </c>
      <c r="AQ26" s="155"/>
      <c r="AR26" s="154" t="s">
        <v>241</v>
      </c>
      <c r="AS26" s="155"/>
      <c r="AT26" s="154" t="s">
        <v>13</v>
      </c>
      <c r="AU26" s="155"/>
      <c r="AV26" s="154" t="s">
        <v>14</v>
      </c>
      <c r="AW26" s="155"/>
      <c r="AX26" s="154" t="s">
        <v>15</v>
      </c>
      <c r="AY26" s="155"/>
      <c r="AZ26" s="154" t="s">
        <v>16</v>
      </c>
      <c r="BA26" s="155"/>
      <c r="BB26" s="154" t="s">
        <v>17</v>
      </c>
      <c r="BC26" s="155"/>
      <c r="BD26" s="154" t="s">
        <v>239</v>
      </c>
      <c r="BE26" s="155"/>
      <c r="BF26" s="154" t="s">
        <v>240</v>
      </c>
      <c r="BG26" s="155"/>
      <c r="BH26" s="154" t="s">
        <v>18</v>
      </c>
      <c r="BI26" s="155"/>
      <c r="BJ26" s="154" t="s">
        <v>19</v>
      </c>
      <c r="BK26" s="155"/>
      <c r="BL26" s="156" t="s">
        <v>20</v>
      </c>
      <c r="BM26" s="157"/>
    </row>
    <row r="27" spans="1:65" ht="30" x14ac:dyDescent="0.25">
      <c r="A27" s="3"/>
      <c r="B27" s="53" t="s">
        <v>300</v>
      </c>
      <c r="C27" s="54" t="s">
        <v>301</v>
      </c>
      <c r="D27" s="53" t="s">
        <v>300</v>
      </c>
      <c r="E27" s="54" t="s">
        <v>301</v>
      </c>
      <c r="F27" s="53" t="s">
        <v>300</v>
      </c>
      <c r="G27" s="54" t="s">
        <v>301</v>
      </c>
      <c r="H27" s="53" t="s">
        <v>300</v>
      </c>
      <c r="I27" s="54" t="s">
        <v>301</v>
      </c>
      <c r="J27" s="53" t="s">
        <v>300</v>
      </c>
      <c r="K27" s="54" t="s">
        <v>301</v>
      </c>
      <c r="L27" s="53" t="s">
        <v>300</v>
      </c>
      <c r="M27" s="54" t="s">
        <v>301</v>
      </c>
      <c r="N27" s="53" t="s">
        <v>300</v>
      </c>
      <c r="O27" s="54" t="s">
        <v>301</v>
      </c>
      <c r="P27" s="53" t="s">
        <v>300</v>
      </c>
      <c r="Q27" s="54" t="s">
        <v>301</v>
      </c>
      <c r="R27" s="53" t="s">
        <v>300</v>
      </c>
      <c r="S27" s="54" t="s">
        <v>301</v>
      </c>
      <c r="T27" s="53" t="s">
        <v>300</v>
      </c>
      <c r="U27" s="54" t="s">
        <v>301</v>
      </c>
      <c r="V27" s="53" t="s">
        <v>300</v>
      </c>
      <c r="W27" s="54" t="s">
        <v>301</v>
      </c>
      <c r="X27" s="53" t="s">
        <v>300</v>
      </c>
      <c r="Y27" s="54" t="s">
        <v>301</v>
      </c>
      <c r="Z27" s="53" t="s">
        <v>300</v>
      </c>
      <c r="AA27" s="54" t="s">
        <v>301</v>
      </c>
      <c r="AB27" s="53" t="s">
        <v>300</v>
      </c>
      <c r="AC27" s="54" t="s">
        <v>301</v>
      </c>
      <c r="AD27" s="53" t="s">
        <v>300</v>
      </c>
      <c r="AE27" s="54" t="s">
        <v>301</v>
      </c>
      <c r="AF27" s="53" t="s">
        <v>300</v>
      </c>
      <c r="AG27" s="54" t="s">
        <v>301</v>
      </c>
      <c r="AH27" s="53" t="s">
        <v>300</v>
      </c>
      <c r="AI27" s="54" t="s">
        <v>301</v>
      </c>
      <c r="AJ27" s="53" t="s">
        <v>300</v>
      </c>
      <c r="AK27" s="54" t="s">
        <v>301</v>
      </c>
      <c r="AL27" s="53" t="s">
        <v>300</v>
      </c>
      <c r="AM27" s="54" t="s">
        <v>301</v>
      </c>
      <c r="AN27" s="53" t="s">
        <v>300</v>
      </c>
      <c r="AO27" s="54" t="s">
        <v>301</v>
      </c>
      <c r="AP27" s="53" t="s">
        <v>300</v>
      </c>
      <c r="AQ27" s="54" t="s">
        <v>301</v>
      </c>
      <c r="AR27" s="53" t="s">
        <v>300</v>
      </c>
      <c r="AS27" s="54" t="s">
        <v>301</v>
      </c>
      <c r="AT27" s="53" t="s">
        <v>300</v>
      </c>
      <c r="AU27" s="54" t="s">
        <v>301</v>
      </c>
      <c r="AV27" s="53" t="s">
        <v>300</v>
      </c>
      <c r="AW27" s="54" t="s">
        <v>301</v>
      </c>
      <c r="AX27" s="53" t="s">
        <v>300</v>
      </c>
      <c r="AY27" s="54" t="s">
        <v>301</v>
      </c>
      <c r="AZ27" s="53" t="s">
        <v>300</v>
      </c>
      <c r="BA27" s="54" t="s">
        <v>301</v>
      </c>
      <c r="BB27" s="53" t="s">
        <v>300</v>
      </c>
      <c r="BC27" s="54" t="s">
        <v>301</v>
      </c>
      <c r="BD27" s="53" t="s">
        <v>300</v>
      </c>
      <c r="BE27" s="54" t="s">
        <v>301</v>
      </c>
      <c r="BF27" s="53" t="s">
        <v>300</v>
      </c>
      <c r="BG27" s="54" t="s">
        <v>301</v>
      </c>
      <c r="BH27" s="53" t="s">
        <v>300</v>
      </c>
      <c r="BI27" s="54" t="s">
        <v>301</v>
      </c>
      <c r="BJ27" s="53" t="s">
        <v>300</v>
      </c>
      <c r="BK27" s="54" t="s">
        <v>301</v>
      </c>
      <c r="BL27" s="104" t="s">
        <v>300</v>
      </c>
      <c r="BM27" s="105" t="s">
        <v>301</v>
      </c>
    </row>
    <row r="28" spans="1:65" x14ac:dyDescent="0.25">
      <c r="A28" s="24" t="s">
        <v>287</v>
      </c>
      <c r="B28" s="91">
        <v>124</v>
      </c>
      <c r="C28" s="91">
        <v>468</v>
      </c>
      <c r="D28" s="9"/>
      <c r="E28" s="9"/>
      <c r="F28" s="9"/>
      <c r="G28" s="9"/>
      <c r="H28" s="91">
        <v>8129</v>
      </c>
      <c r="I28" s="91">
        <v>29821</v>
      </c>
      <c r="J28" s="76"/>
      <c r="K28" s="76"/>
      <c r="L28" s="91">
        <v>6744</v>
      </c>
      <c r="M28" s="91">
        <v>21502</v>
      </c>
      <c r="N28" s="76"/>
      <c r="O28" s="76"/>
      <c r="P28" s="91">
        <v>379.87</v>
      </c>
      <c r="Q28" s="91">
        <v>1358.9</v>
      </c>
      <c r="R28" s="91">
        <v>2035.61</v>
      </c>
      <c r="S28" s="91">
        <v>10181.92</v>
      </c>
      <c r="T28" s="91">
        <v>3683</v>
      </c>
      <c r="U28" s="91">
        <v>11180</v>
      </c>
      <c r="V28" s="91">
        <v>6142</v>
      </c>
      <c r="W28" s="91">
        <v>22331</v>
      </c>
      <c r="X28" s="91">
        <v>17989</v>
      </c>
      <c r="Y28" s="91">
        <v>60775</v>
      </c>
      <c r="Z28" s="91">
        <v>8057</v>
      </c>
      <c r="AA28" s="91">
        <v>31058</v>
      </c>
      <c r="AB28" s="91">
        <v>1098.76</v>
      </c>
      <c r="AC28" s="91">
        <v>3220.44</v>
      </c>
      <c r="AD28" s="91">
        <v>2200</v>
      </c>
      <c r="AE28" s="91">
        <v>7555</v>
      </c>
      <c r="AF28" s="69">
        <v>2349</v>
      </c>
      <c r="AG28" s="91">
        <v>7144</v>
      </c>
      <c r="AH28" s="9"/>
      <c r="AI28" s="9"/>
      <c r="AJ28" s="9"/>
      <c r="AK28" s="9"/>
      <c r="AL28" s="76"/>
      <c r="AM28" s="76"/>
      <c r="AN28" s="91">
        <v>24</v>
      </c>
      <c r="AO28" s="91">
        <v>86</v>
      </c>
      <c r="AP28" s="91">
        <v>430</v>
      </c>
      <c r="AQ28" s="91">
        <v>2772</v>
      </c>
      <c r="AR28" s="9">
        <v>7732</v>
      </c>
      <c r="AS28" s="9">
        <v>26806</v>
      </c>
      <c r="AT28" s="91">
        <v>4104</v>
      </c>
      <c r="AU28" s="91">
        <v>15544</v>
      </c>
      <c r="AV28" s="91">
        <v>5840</v>
      </c>
      <c r="AW28" s="91">
        <v>18701</v>
      </c>
      <c r="AX28" s="91">
        <v>2008</v>
      </c>
      <c r="AY28" s="91">
        <v>7485</v>
      </c>
      <c r="AZ28" s="9"/>
      <c r="BA28" s="9"/>
      <c r="BB28" s="91">
        <v>7811</v>
      </c>
      <c r="BC28" s="91">
        <v>26865</v>
      </c>
      <c r="BD28" s="76"/>
      <c r="BE28" s="76"/>
      <c r="BF28" s="91">
        <v>4755</v>
      </c>
      <c r="BG28" s="91">
        <v>17546</v>
      </c>
      <c r="BH28" s="9"/>
      <c r="BI28" s="9"/>
      <c r="BJ28" s="91">
        <v>3401</v>
      </c>
      <c r="BK28" s="91">
        <v>10898</v>
      </c>
      <c r="BL28" s="68">
        <f t="shared" ref="BL28:BL34" si="4">SUM(B28+D28+F28+H28+J28+L28+N28+P28+R28+T28+V28+X28+Z28+AB28+AD28+AF28+AH28+AJ28+AL28+AN28+AP28+AR28+AT28+AV28+AX28+AZ28+BB28+BD28+BF28+BH28+BJ28)</f>
        <v>95036.239999999991</v>
      </c>
      <c r="BM28" s="68">
        <f t="shared" ref="BM28:BM34" si="5">SUM(C28+E28+G28+I28+K28+M28+O28+Q28+S28+U28+W28+Y28+AA28+AC28+AE28+AG28+AI28+AK28+AM28+AO28+AQ28+AS28+AU28+AW28+AY28+BA28+BC28+BE28+BG28+BI28+BK28)</f>
        <v>333298.26</v>
      </c>
    </row>
    <row r="29" spans="1:65" s="71" customFormat="1" x14ac:dyDescent="0.25">
      <c r="A29" s="24" t="s">
        <v>288</v>
      </c>
      <c r="B29" s="91">
        <v>5</v>
      </c>
      <c r="C29" s="91">
        <v>17</v>
      </c>
      <c r="D29" s="91"/>
      <c r="E29" s="91"/>
      <c r="F29" s="91"/>
      <c r="G29" s="91"/>
      <c r="H29" s="91">
        <v>2824</v>
      </c>
      <c r="I29" s="91">
        <v>6978</v>
      </c>
      <c r="J29" s="91"/>
      <c r="K29" s="91"/>
      <c r="L29" s="91">
        <v>1173</v>
      </c>
      <c r="M29" s="91">
        <v>4693</v>
      </c>
      <c r="N29" s="91"/>
      <c r="O29" s="91"/>
      <c r="P29" s="91">
        <v>87.43</v>
      </c>
      <c r="Q29" s="91">
        <v>340.87</v>
      </c>
      <c r="R29" s="91">
        <v>1576.84</v>
      </c>
      <c r="S29" s="91">
        <v>2630.21</v>
      </c>
      <c r="T29" s="91">
        <v>997</v>
      </c>
      <c r="U29" s="91">
        <v>3051</v>
      </c>
      <c r="V29" s="91">
        <v>1778</v>
      </c>
      <c r="W29" s="91">
        <v>5253</v>
      </c>
      <c r="X29" s="91">
        <v>3976</v>
      </c>
      <c r="Y29" s="91">
        <v>14038</v>
      </c>
      <c r="Z29" s="91">
        <v>380</v>
      </c>
      <c r="AA29" s="91">
        <v>1427</v>
      </c>
      <c r="AB29" s="91">
        <v>299.73</v>
      </c>
      <c r="AC29" s="91">
        <v>817.86</v>
      </c>
      <c r="AD29" s="91">
        <v>525</v>
      </c>
      <c r="AE29" s="91">
        <v>2139</v>
      </c>
      <c r="AF29" s="69">
        <v>653</v>
      </c>
      <c r="AG29" s="91">
        <v>1944</v>
      </c>
      <c r="AH29" s="91"/>
      <c r="AI29" s="91"/>
      <c r="AJ29" s="91"/>
      <c r="AK29" s="91"/>
      <c r="AL29" s="91"/>
      <c r="AM29" s="91"/>
      <c r="AN29" s="91">
        <v>7</v>
      </c>
      <c r="AO29" s="91">
        <v>19</v>
      </c>
      <c r="AP29" s="91">
        <v>610</v>
      </c>
      <c r="AQ29" s="91">
        <v>799</v>
      </c>
      <c r="AR29" s="91">
        <v>1547</v>
      </c>
      <c r="AS29" s="91">
        <v>5292</v>
      </c>
      <c r="AT29" s="91">
        <v>1369</v>
      </c>
      <c r="AU29" s="91">
        <v>4064</v>
      </c>
      <c r="AV29" s="91">
        <v>1676</v>
      </c>
      <c r="AW29" s="91">
        <v>5226</v>
      </c>
      <c r="AX29" s="91">
        <v>344</v>
      </c>
      <c r="AY29" s="91">
        <v>1090</v>
      </c>
      <c r="AZ29" s="91"/>
      <c r="BA29" s="91"/>
      <c r="BB29" s="91">
        <v>1803</v>
      </c>
      <c r="BC29" s="91">
        <v>6270</v>
      </c>
      <c r="BD29" s="91"/>
      <c r="BE29" s="91"/>
      <c r="BF29" s="91">
        <v>3397</v>
      </c>
      <c r="BG29" s="91">
        <v>8831</v>
      </c>
      <c r="BH29" s="91"/>
      <c r="BI29" s="91"/>
      <c r="BJ29" s="91">
        <v>903</v>
      </c>
      <c r="BK29" s="91">
        <v>3203</v>
      </c>
      <c r="BL29" s="68">
        <f t="shared" si="4"/>
        <v>25931</v>
      </c>
      <c r="BM29" s="68">
        <f t="shared" si="5"/>
        <v>78122.94</v>
      </c>
    </row>
    <row r="30" spans="1:65" s="71" customFormat="1" x14ac:dyDescent="0.25">
      <c r="A30" s="24" t="s">
        <v>289</v>
      </c>
      <c r="B30" s="91"/>
      <c r="C30" s="91"/>
      <c r="D30" s="91"/>
      <c r="E30" s="91"/>
      <c r="F30" s="91"/>
      <c r="G30" s="91"/>
      <c r="H30" s="91">
        <v>351</v>
      </c>
      <c r="I30" s="91">
        <v>1290</v>
      </c>
      <c r="J30" s="91"/>
      <c r="K30" s="91"/>
      <c r="L30" s="91">
        <v>24</v>
      </c>
      <c r="M30" s="91">
        <v>160</v>
      </c>
      <c r="N30" s="91"/>
      <c r="O30" s="91"/>
      <c r="P30" s="91"/>
      <c r="Q30" s="91"/>
      <c r="R30" s="91">
        <v>87.64</v>
      </c>
      <c r="S30" s="91">
        <v>329.66</v>
      </c>
      <c r="T30" s="91">
        <v>124</v>
      </c>
      <c r="U30" s="91">
        <v>417</v>
      </c>
      <c r="V30" s="91">
        <v>313</v>
      </c>
      <c r="W30" s="91">
        <v>1092</v>
      </c>
      <c r="X30" s="91">
        <v>523</v>
      </c>
      <c r="Y30" s="91">
        <v>4365</v>
      </c>
      <c r="Z30" s="91">
        <v>307</v>
      </c>
      <c r="AA30" s="91">
        <v>1300</v>
      </c>
      <c r="AB30" s="91"/>
      <c r="AC30" s="91"/>
      <c r="AD30" s="91">
        <v>102</v>
      </c>
      <c r="AE30" s="91">
        <v>429</v>
      </c>
      <c r="AF30" s="69">
        <v>47</v>
      </c>
      <c r="AG30" s="91">
        <v>175</v>
      </c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>
        <v>203</v>
      </c>
      <c r="AS30" s="91">
        <v>837</v>
      </c>
      <c r="AT30" s="91">
        <v>32</v>
      </c>
      <c r="AU30" s="91">
        <v>143</v>
      </c>
      <c r="AV30" s="91">
        <v>0</v>
      </c>
      <c r="AW30" s="91">
        <v>7</v>
      </c>
      <c r="AX30" s="91">
        <v>19</v>
      </c>
      <c r="AY30" s="91">
        <v>61</v>
      </c>
      <c r="AZ30" s="91"/>
      <c r="BA30" s="91"/>
      <c r="BB30" s="91">
        <v>2847</v>
      </c>
      <c r="BC30" s="91">
        <v>9675</v>
      </c>
      <c r="BD30" s="91"/>
      <c r="BE30" s="91"/>
      <c r="BF30" s="91">
        <v>955</v>
      </c>
      <c r="BG30" s="91">
        <v>2793</v>
      </c>
      <c r="BH30" s="91"/>
      <c r="BI30" s="91"/>
      <c r="BJ30" s="91"/>
      <c r="BK30" s="91"/>
      <c r="BL30" s="68">
        <f t="shared" si="4"/>
        <v>5934.6399999999994</v>
      </c>
      <c r="BM30" s="68">
        <f t="shared" si="5"/>
        <v>23073.66</v>
      </c>
    </row>
    <row r="31" spans="1:65" s="7" customFormat="1" x14ac:dyDescent="0.25">
      <c r="A31" s="10" t="s">
        <v>290</v>
      </c>
      <c r="B31" s="10">
        <v>129</v>
      </c>
      <c r="C31" s="10">
        <v>485</v>
      </c>
      <c r="D31" s="10"/>
      <c r="E31" s="10"/>
      <c r="F31" s="10"/>
      <c r="G31" s="10"/>
      <c r="H31" s="10">
        <v>11304</v>
      </c>
      <c r="I31" s="10">
        <v>38089</v>
      </c>
      <c r="J31" s="10"/>
      <c r="K31" s="10"/>
      <c r="L31" s="10">
        <v>7942</v>
      </c>
      <c r="M31" s="10">
        <v>26356</v>
      </c>
      <c r="N31" s="10"/>
      <c r="O31" s="10"/>
      <c r="P31" s="10">
        <v>467.3</v>
      </c>
      <c r="Q31" s="10">
        <v>1699.77</v>
      </c>
      <c r="R31" s="10">
        <v>3700.08</v>
      </c>
      <c r="S31" s="10">
        <v>13141.79</v>
      </c>
      <c r="T31" s="10">
        <v>4804</v>
      </c>
      <c r="U31" s="10">
        <v>14648</v>
      </c>
      <c r="V31" s="10">
        <v>8234</v>
      </c>
      <c r="W31" s="10">
        <v>28676</v>
      </c>
      <c r="X31" s="10">
        <v>22488</v>
      </c>
      <c r="Y31" s="10">
        <v>79178</v>
      </c>
      <c r="Z31" s="10">
        <v>8744</v>
      </c>
      <c r="AA31" s="10">
        <v>33785</v>
      </c>
      <c r="AB31" s="10">
        <v>1398.49</v>
      </c>
      <c r="AC31" s="10">
        <v>4038.3</v>
      </c>
      <c r="AD31" s="10">
        <v>2827</v>
      </c>
      <c r="AE31" s="10">
        <v>10123</v>
      </c>
      <c r="AF31" s="10">
        <v>3049</v>
      </c>
      <c r="AG31" s="10">
        <v>9263</v>
      </c>
      <c r="AH31" s="10"/>
      <c r="AI31" s="10"/>
      <c r="AJ31" s="10"/>
      <c r="AK31" s="10"/>
      <c r="AL31" s="10">
        <v>12747</v>
      </c>
      <c r="AM31" s="10">
        <v>36622</v>
      </c>
      <c r="AN31" s="10">
        <v>31</v>
      </c>
      <c r="AO31" s="10">
        <v>105</v>
      </c>
      <c r="AP31" s="10">
        <v>1039</v>
      </c>
      <c r="AQ31" s="10">
        <v>3571</v>
      </c>
      <c r="AR31" s="10">
        <v>9482</v>
      </c>
      <c r="AS31" s="10">
        <v>32934</v>
      </c>
      <c r="AT31" s="10">
        <v>5505</v>
      </c>
      <c r="AU31" s="10">
        <v>19751</v>
      </c>
      <c r="AV31" s="10">
        <v>7516</v>
      </c>
      <c r="AW31" s="10">
        <v>23935</v>
      </c>
      <c r="AX31" s="10">
        <v>2371</v>
      </c>
      <c r="AY31" s="10">
        <v>8637</v>
      </c>
      <c r="AZ31" s="10"/>
      <c r="BA31" s="10"/>
      <c r="BB31" s="10">
        <v>12461</v>
      </c>
      <c r="BC31" s="10">
        <v>42811</v>
      </c>
      <c r="BD31" s="10">
        <v>28226</v>
      </c>
      <c r="BE31" s="10">
        <v>87619</v>
      </c>
      <c r="BF31" s="10">
        <v>9107</v>
      </c>
      <c r="BG31" s="10">
        <v>29170</v>
      </c>
      <c r="BH31" s="10">
        <v>13821</v>
      </c>
      <c r="BI31" s="10">
        <v>40625</v>
      </c>
      <c r="BJ31" s="10">
        <v>4303</v>
      </c>
      <c r="BK31" s="10">
        <v>14101</v>
      </c>
      <c r="BL31" s="63">
        <f t="shared" si="4"/>
        <v>181695.87</v>
      </c>
      <c r="BM31" s="63">
        <f t="shared" si="5"/>
        <v>599363.86</v>
      </c>
    </row>
    <row r="32" spans="1:65" x14ac:dyDescent="0.25">
      <c r="A32" s="24" t="s">
        <v>291</v>
      </c>
      <c r="B32" s="91"/>
      <c r="C32" s="91"/>
      <c r="D32" s="9"/>
      <c r="E32" s="9"/>
      <c r="F32" s="9"/>
      <c r="G32" s="9"/>
      <c r="H32" s="91"/>
      <c r="I32" s="91"/>
      <c r="J32" s="76"/>
      <c r="K32" s="76"/>
      <c r="L32" s="91"/>
      <c r="M32" s="91"/>
      <c r="N32" s="76"/>
      <c r="O32" s="76"/>
      <c r="P32" s="91"/>
      <c r="Q32" s="91"/>
      <c r="R32" s="91"/>
      <c r="S32" s="91"/>
      <c r="T32" s="91">
        <v>243</v>
      </c>
      <c r="U32" s="91">
        <v>1337</v>
      </c>
      <c r="V32" s="91"/>
      <c r="W32" s="91"/>
      <c r="X32" s="91">
        <v>521</v>
      </c>
      <c r="Y32" s="91">
        <v>386</v>
      </c>
      <c r="Z32" s="91"/>
      <c r="AA32" s="91"/>
      <c r="AB32" s="91"/>
      <c r="AC32" s="91"/>
      <c r="AD32" s="91"/>
      <c r="AE32" s="91"/>
      <c r="AF32" s="69"/>
      <c r="AG32" s="91"/>
      <c r="AH32" s="9"/>
      <c r="AI32" s="9"/>
      <c r="AJ32" s="9"/>
      <c r="AK32" s="9"/>
      <c r="AL32" s="91">
        <v>1</v>
      </c>
      <c r="AM32" s="91">
        <v>2</v>
      </c>
      <c r="AN32" s="91"/>
      <c r="AO32" s="91"/>
      <c r="AP32" s="91"/>
      <c r="AQ32" s="91"/>
      <c r="AR32" s="9"/>
      <c r="AS32" s="9"/>
      <c r="AT32" s="91"/>
      <c r="AU32" s="91"/>
      <c r="AV32" s="91"/>
      <c r="AW32" s="91"/>
      <c r="AX32" s="91"/>
      <c r="AY32" s="91"/>
      <c r="AZ32" s="9"/>
      <c r="BA32" s="9"/>
      <c r="BB32" s="91">
        <v>602</v>
      </c>
      <c r="BC32" s="91">
        <v>1346</v>
      </c>
      <c r="BD32" s="91">
        <v>20</v>
      </c>
      <c r="BE32" s="91">
        <v>35</v>
      </c>
      <c r="BF32" s="91">
        <v>0</v>
      </c>
      <c r="BG32" s="91">
        <v>3</v>
      </c>
      <c r="BH32" s="91"/>
      <c r="BI32" s="91"/>
      <c r="BJ32" s="91"/>
      <c r="BK32" s="91"/>
      <c r="BL32" s="68">
        <f t="shared" si="4"/>
        <v>1387</v>
      </c>
      <c r="BM32" s="68">
        <f t="shared" si="5"/>
        <v>3109</v>
      </c>
    </row>
    <row r="33" spans="1:65" x14ac:dyDescent="0.25">
      <c r="A33" s="24" t="s">
        <v>292</v>
      </c>
      <c r="B33" s="91">
        <v>2273</v>
      </c>
      <c r="C33" s="91">
        <v>5460</v>
      </c>
      <c r="D33" s="9"/>
      <c r="E33" s="9"/>
      <c r="F33" s="9"/>
      <c r="G33" s="9"/>
      <c r="H33" s="91">
        <v>-4719</v>
      </c>
      <c r="I33" s="91">
        <v>-13314</v>
      </c>
      <c r="J33" s="76"/>
      <c r="K33" s="76"/>
      <c r="L33" s="91">
        <v>3545</v>
      </c>
      <c r="M33" s="91">
        <v>17468</v>
      </c>
      <c r="N33" s="76"/>
      <c r="O33" s="76"/>
      <c r="P33" s="91">
        <v>481.47</v>
      </c>
      <c r="Q33" s="91">
        <v>988.44</v>
      </c>
      <c r="R33" s="91">
        <v>222.05</v>
      </c>
      <c r="S33" s="91">
        <v>4025.1</v>
      </c>
      <c r="T33" s="91">
        <v>-612</v>
      </c>
      <c r="U33" s="91">
        <v>-1943</v>
      </c>
      <c r="V33" s="91">
        <v>-8181</v>
      </c>
      <c r="W33" s="91">
        <v>-26737</v>
      </c>
      <c r="X33" s="91">
        <v>2359</v>
      </c>
      <c r="Y33" s="91">
        <v>7154</v>
      </c>
      <c r="Z33" s="91">
        <v>1543</v>
      </c>
      <c r="AA33" s="91">
        <v>5778</v>
      </c>
      <c r="AB33" s="91">
        <v>563.17999999999995</v>
      </c>
      <c r="AC33" s="91">
        <v>1632.32</v>
      </c>
      <c r="AD33" s="91">
        <v>329</v>
      </c>
      <c r="AE33" s="91">
        <v>689</v>
      </c>
      <c r="AF33" s="69">
        <v>-3068</v>
      </c>
      <c r="AG33" s="91">
        <v>-11052</v>
      </c>
      <c r="AH33" s="9"/>
      <c r="AI33" s="9"/>
      <c r="AJ33" s="9"/>
      <c r="AK33" s="9"/>
      <c r="AL33" s="91">
        <v>561</v>
      </c>
      <c r="AM33" s="91">
        <v>2210</v>
      </c>
      <c r="AN33" s="91">
        <v>-23</v>
      </c>
      <c r="AO33" s="91">
        <v>-35</v>
      </c>
      <c r="AP33" s="91">
        <v>101</v>
      </c>
      <c r="AQ33" s="91">
        <v>280</v>
      </c>
      <c r="AR33" s="9">
        <v>10735</v>
      </c>
      <c r="AS33" s="9">
        <v>26653</v>
      </c>
      <c r="AT33" s="91">
        <v>1106</v>
      </c>
      <c r="AU33" s="91">
        <v>5742</v>
      </c>
      <c r="AV33" s="91">
        <v>4390</v>
      </c>
      <c r="AW33" s="91">
        <v>14004</v>
      </c>
      <c r="AX33" s="91">
        <v>159</v>
      </c>
      <c r="AY33" s="91">
        <v>583</v>
      </c>
      <c r="AZ33" s="9"/>
      <c r="BA33" s="9"/>
      <c r="BB33" s="91">
        <v>3572</v>
      </c>
      <c r="BC33" s="91">
        <v>18442</v>
      </c>
      <c r="BD33" s="91">
        <v>3007</v>
      </c>
      <c r="BE33" s="91">
        <v>5401</v>
      </c>
      <c r="BF33" s="91">
        <v>313</v>
      </c>
      <c r="BG33" s="91">
        <v>1395</v>
      </c>
      <c r="BH33" s="91">
        <v>574</v>
      </c>
      <c r="BI33" s="91">
        <v>2084</v>
      </c>
      <c r="BJ33" s="91">
        <v>1556</v>
      </c>
      <c r="BK33" s="91">
        <v>5983</v>
      </c>
      <c r="BL33" s="68">
        <f t="shared" si="4"/>
        <v>20786.7</v>
      </c>
      <c r="BM33" s="68">
        <f t="shared" si="5"/>
        <v>72890.86</v>
      </c>
    </row>
    <row r="34" spans="1:65" s="7" customFormat="1" x14ac:dyDescent="0.25">
      <c r="A34" s="10" t="s">
        <v>190</v>
      </c>
      <c r="B34" s="10">
        <v>-2144</v>
      </c>
      <c r="C34" s="10">
        <v>-4975</v>
      </c>
      <c r="D34" s="10"/>
      <c r="E34" s="10"/>
      <c r="F34" s="10"/>
      <c r="G34" s="10"/>
      <c r="H34" s="10">
        <v>6585</v>
      </c>
      <c r="I34" s="10">
        <v>24775</v>
      </c>
      <c r="J34" s="10"/>
      <c r="K34" s="10"/>
      <c r="L34" s="10">
        <v>4397</v>
      </c>
      <c r="M34" s="10">
        <v>8888</v>
      </c>
      <c r="N34" s="10"/>
      <c r="O34" s="10"/>
      <c r="P34" s="10">
        <v>-14.17</v>
      </c>
      <c r="Q34" s="10">
        <v>711.33</v>
      </c>
      <c r="R34" s="10">
        <v>3478.03</v>
      </c>
      <c r="S34" s="10">
        <v>9116.68</v>
      </c>
      <c r="T34" s="10">
        <v>4436</v>
      </c>
      <c r="U34" s="10">
        <v>14042</v>
      </c>
      <c r="V34" s="10">
        <v>53</v>
      </c>
      <c r="W34" s="10">
        <v>1939</v>
      </c>
      <c r="X34" s="10">
        <v>20650</v>
      </c>
      <c r="Y34" s="10">
        <v>72410</v>
      </c>
      <c r="Z34" s="10">
        <v>7201</v>
      </c>
      <c r="AA34" s="10">
        <v>28007</v>
      </c>
      <c r="AB34" s="10">
        <v>835.31</v>
      </c>
      <c r="AC34" s="10">
        <v>2405.98</v>
      </c>
      <c r="AD34" s="10">
        <v>2498</v>
      </c>
      <c r="AE34" s="10">
        <v>9434</v>
      </c>
      <c r="AF34" s="10">
        <v>-19</v>
      </c>
      <c r="AG34" s="10">
        <v>-1790</v>
      </c>
      <c r="AH34" s="10"/>
      <c r="AI34" s="10"/>
      <c r="AJ34" s="10"/>
      <c r="AK34" s="10"/>
      <c r="AL34" s="10">
        <v>12187</v>
      </c>
      <c r="AM34" s="10">
        <v>34414</v>
      </c>
      <c r="AN34" s="10">
        <v>7</v>
      </c>
      <c r="AO34" s="10">
        <v>70</v>
      </c>
      <c r="AP34" s="10">
        <v>938</v>
      </c>
      <c r="AQ34" s="10">
        <v>3292</v>
      </c>
      <c r="AR34" s="10">
        <v>-1253</v>
      </c>
      <c r="AS34" s="10">
        <v>6281</v>
      </c>
      <c r="AT34" s="10">
        <v>4399</v>
      </c>
      <c r="AU34" s="10">
        <v>14009</v>
      </c>
      <c r="AV34" s="10">
        <v>3126</v>
      </c>
      <c r="AW34" s="10">
        <v>9930</v>
      </c>
      <c r="AX34" s="10">
        <v>2212</v>
      </c>
      <c r="AY34" s="10">
        <v>8054</v>
      </c>
      <c r="AZ34" s="10"/>
      <c r="BA34" s="10"/>
      <c r="BB34" s="10">
        <v>9491</v>
      </c>
      <c r="BC34" s="10">
        <v>25715</v>
      </c>
      <c r="BD34" s="10">
        <v>25240</v>
      </c>
      <c r="BE34" s="10">
        <v>82252</v>
      </c>
      <c r="BF34" s="10">
        <v>8794</v>
      </c>
      <c r="BG34" s="10">
        <v>27779</v>
      </c>
      <c r="BH34" s="10">
        <v>13247</v>
      </c>
      <c r="BI34" s="10">
        <v>38541</v>
      </c>
      <c r="BJ34" s="10">
        <v>2747</v>
      </c>
      <c r="BK34" s="10">
        <v>8118</v>
      </c>
      <c r="BL34" s="63">
        <f t="shared" si="4"/>
        <v>129091.17</v>
      </c>
      <c r="BM34" s="63">
        <f t="shared" si="5"/>
        <v>423418.99</v>
      </c>
    </row>
    <row r="35" spans="1:65" x14ac:dyDescent="0.25">
      <c r="A35" s="22"/>
    </row>
    <row r="36" spans="1:65" x14ac:dyDescent="0.25">
      <c r="A36" s="23" t="s">
        <v>185</v>
      </c>
    </row>
    <row r="37" spans="1:65" x14ac:dyDescent="0.25">
      <c r="A37" s="3" t="s">
        <v>0</v>
      </c>
      <c r="B37" s="154" t="s">
        <v>1</v>
      </c>
      <c r="C37" s="155"/>
      <c r="D37" s="154" t="s">
        <v>234</v>
      </c>
      <c r="E37" s="155"/>
      <c r="F37" s="154" t="s">
        <v>2</v>
      </c>
      <c r="G37" s="155"/>
      <c r="H37" s="154" t="s">
        <v>3</v>
      </c>
      <c r="I37" s="155"/>
      <c r="J37" s="154" t="s">
        <v>243</v>
      </c>
      <c r="K37" s="155"/>
      <c r="L37" s="154" t="s">
        <v>235</v>
      </c>
      <c r="M37" s="155"/>
      <c r="N37" s="154" t="s">
        <v>5</v>
      </c>
      <c r="O37" s="155"/>
      <c r="P37" s="154" t="s">
        <v>4</v>
      </c>
      <c r="Q37" s="155"/>
      <c r="R37" s="154" t="s">
        <v>6</v>
      </c>
      <c r="S37" s="155"/>
      <c r="T37" s="154" t="s">
        <v>246</v>
      </c>
      <c r="U37" s="155"/>
      <c r="V37" s="154" t="s">
        <v>7</v>
      </c>
      <c r="W37" s="155"/>
      <c r="X37" s="154" t="s">
        <v>8</v>
      </c>
      <c r="Y37" s="155"/>
      <c r="Z37" s="154" t="s">
        <v>9</v>
      </c>
      <c r="AA37" s="155"/>
      <c r="AB37" s="154" t="s">
        <v>242</v>
      </c>
      <c r="AC37" s="155"/>
      <c r="AD37" s="154" t="s">
        <v>10</v>
      </c>
      <c r="AE37" s="155"/>
      <c r="AF37" s="154" t="s">
        <v>11</v>
      </c>
      <c r="AG37" s="155"/>
      <c r="AH37" s="154" t="s">
        <v>236</v>
      </c>
      <c r="AI37" s="155"/>
      <c r="AJ37" s="154" t="s">
        <v>245</v>
      </c>
      <c r="AK37" s="155"/>
      <c r="AL37" s="154" t="s">
        <v>12</v>
      </c>
      <c r="AM37" s="155"/>
      <c r="AN37" s="154" t="s">
        <v>237</v>
      </c>
      <c r="AO37" s="155"/>
      <c r="AP37" s="154" t="s">
        <v>238</v>
      </c>
      <c r="AQ37" s="155"/>
      <c r="AR37" s="154" t="s">
        <v>241</v>
      </c>
      <c r="AS37" s="155"/>
      <c r="AT37" s="154" t="s">
        <v>13</v>
      </c>
      <c r="AU37" s="155"/>
      <c r="AV37" s="154" t="s">
        <v>14</v>
      </c>
      <c r="AW37" s="155"/>
      <c r="AX37" s="154" t="s">
        <v>15</v>
      </c>
      <c r="AY37" s="155"/>
      <c r="AZ37" s="154" t="s">
        <v>16</v>
      </c>
      <c r="BA37" s="155"/>
      <c r="BB37" s="154" t="s">
        <v>17</v>
      </c>
      <c r="BC37" s="155"/>
      <c r="BD37" s="154" t="s">
        <v>239</v>
      </c>
      <c r="BE37" s="155"/>
      <c r="BF37" s="154" t="s">
        <v>240</v>
      </c>
      <c r="BG37" s="155"/>
      <c r="BH37" s="154" t="s">
        <v>18</v>
      </c>
      <c r="BI37" s="155"/>
      <c r="BJ37" s="154" t="s">
        <v>19</v>
      </c>
      <c r="BK37" s="155"/>
      <c r="BL37" s="156" t="s">
        <v>20</v>
      </c>
      <c r="BM37" s="157"/>
    </row>
    <row r="38" spans="1:65" ht="30" x14ac:dyDescent="0.25">
      <c r="A38" s="3"/>
      <c r="B38" s="53" t="s">
        <v>300</v>
      </c>
      <c r="C38" s="54" t="s">
        <v>301</v>
      </c>
      <c r="D38" s="53" t="s">
        <v>300</v>
      </c>
      <c r="E38" s="54" t="s">
        <v>301</v>
      </c>
      <c r="F38" s="53" t="s">
        <v>300</v>
      </c>
      <c r="G38" s="54" t="s">
        <v>301</v>
      </c>
      <c r="H38" s="53" t="s">
        <v>300</v>
      </c>
      <c r="I38" s="54" t="s">
        <v>301</v>
      </c>
      <c r="J38" s="53" t="s">
        <v>300</v>
      </c>
      <c r="K38" s="54" t="s">
        <v>301</v>
      </c>
      <c r="L38" s="53" t="s">
        <v>300</v>
      </c>
      <c r="M38" s="54" t="s">
        <v>301</v>
      </c>
      <c r="N38" s="53" t="s">
        <v>300</v>
      </c>
      <c r="O38" s="54" t="s">
        <v>301</v>
      </c>
      <c r="P38" s="53" t="s">
        <v>300</v>
      </c>
      <c r="Q38" s="54" t="s">
        <v>301</v>
      </c>
      <c r="R38" s="53" t="s">
        <v>300</v>
      </c>
      <c r="S38" s="54" t="s">
        <v>301</v>
      </c>
      <c r="T38" s="53" t="s">
        <v>300</v>
      </c>
      <c r="U38" s="54" t="s">
        <v>301</v>
      </c>
      <c r="V38" s="53" t="s">
        <v>300</v>
      </c>
      <c r="W38" s="54" t="s">
        <v>301</v>
      </c>
      <c r="X38" s="53" t="s">
        <v>300</v>
      </c>
      <c r="Y38" s="54" t="s">
        <v>301</v>
      </c>
      <c r="Z38" s="53" t="s">
        <v>300</v>
      </c>
      <c r="AA38" s="54" t="s">
        <v>301</v>
      </c>
      <c r="AB38" s="53" t="s">
        <v>300</v>
      </c>
      <c r="AC38" s="54" t="s">
        <v>301</v>
      </c>
      <c r="AD38" s="53" t="s">
        <v>300</v>
      </c>
      <c r="AE38" s="54" t="s">
        <v>301</v>
      </c>
      <c r="AF38" s="53" t="s">
        <v>300</v>
      </c>
      <c r="AG38" s="54" t="s">
        <v>301</v>
      </c>
      <c r="AH38" s="53" t="s">
        <v>300</v>
      </c>
      <c r="AI38" s="54" t="s">
        <v>301</v>
      </c>
      <c r="AJ38" s="53" t="s">
        <v>300</v>
      </c>
      <c r="AK38" s="54" t="s">
        <v>301</v>
      </c>
      <c r="AL38" s="53" t="s">
        <v>300</v>
      </c>
      <c r="AM38" s="54" t="s">
        <v>301</v>
      </c>
      <c r="AN38" s="53" t="s">
        <v>300</v>
      </c>
      <c r="AO38" s="54" t="s">
        <v>301</v>
      </c>
      <c r="AP38" s="53" t="s">
        <v>300</v>
      </c>
      <c r="AQ38" s="54" t="s">
        <v>301</v>
      </c>
      <c r="AR38" s="53" t="s">
        <v>300</v>
      </c>
      <c r="AS38" s="54" t="s">
        <v>301</v>
      </c>
      <c r="AT38" s="53" t="s">
        <v>300</v>
      </c>
      <c r="AU38" s="54" t="s">
        <v>301</v>
      </c>
      <c r="AV38" s="53" t="s">
        <v>300</v>
      </c>
      <c r="AW38" s="54" t="s">
        <v>301</v>
      </c>
      <c r="AX38" s="53" t="s">
        <v>300</v>
      </c>
      <c r="AY38" s="54" t="s">
        <v>301</v>
      </c>
      <c r="AZ38" s="53" t="s">
        <v>300</v>
      </c>
      <c r="BA38" s="54" t="s">
        <v>301</v>
      </c>
      <c r="BB38" s="53" t="s">
        <v>300</v>
      </c>
      <c r="BC38" s="54" t="s">
        <v>301</v>
      </c>
      <c r="BD38" s="53" t="s">
        <v>300</v>
      </c>
      <c r="BE38" s="54" t="s">
        <v>301</v>
      </c>
      <c r="BF38" s="53" t="s">
        <v>300</v>
      </c>
      <c r="BG38" s="54" t="s">
        <v>301</v>
      </c>
      <c r="BH38" s="53" t="s">
        <v>300</v>
      </c>
      <c r="BI38" s="54" t="s">
        <v>301</v>
      </c>
      <c r="BJ38" s="53" t="s">
        <v>300</v>
      </c>
      <c r="BK38" s="54" t="s">
        <v>301</v>
      </c>
      <c r="BL38" s="104" t="s">
        <v>300</v>
      </c>
      <c r="BM38" s="105" t="s">
        <v>301</v>
      </c>
    </row>
    <row r="39" spans="1:65" x14ac:dyDescent="0.25">
      <c r="A39" s="24" t="s">
        <v>287</v>
      </c>
      <c r="B39" s="9"/>
      <c r="C39" s="9"/>
      <c r="D39" s="9"/>
      <c r="E39" s="9"/>
      <c r="F39" s="9"/>
      <c r="G39" s="9"/>
      <c r="H39" s="91">
        <v>446</v>
      </c>
      <c r="I39" s="91">
        <v>1557</v>
      </c>
      <c r="J39" s="76"/>
      <c r="K39" s="76"/>
      <c r="L39" s="91">
        <v>65</v>
      </c>
      <c r="M39" s="91">
        <v>244</v>
      </c>
      <c r="N39" s="76"/>
      <c r="O39" s="76"/>
      <c r="P39" s="91">
        <v>0.87</v>
      </c>
      <c r="Q39" s="91">
        <v>3.78</v>
      </c>
      <c r="R39" s="91">
        <v>181.3</v>
      </c>
      <c r="S39" s="91">
        <v>610.39</v>
      </c>
      <c r="T39" s="91">
        <v>25</v>
      </c>
      <c r="U39" s="91">
        <v>189</v>
      </c>
      <c r="V39" s="91">
        <v>241</v>
      </c>
      <c r="W39" s="91">
        <v>1039</v>
      </c>
      <c r="X39" s="91">
        <v>647</v>
      </c>
      <c r="Y39" s="91">
        <v>3031</v>
      </c>
      <c r="Z39" s="91">
        <v>332</v>
      </c>
      <c r="AA39" s="91">
        <v>1228</v>
      </c>
      <c r="AB39" s="91">
        <v>10.08</v>
      </c>
      <c r="AC39" s="91">
        <v>34.44</v>
      </c>
      <c r="AD39" s="91">
        <v>81</v>
      </c>
      <c r="AE39" s="91">
        <v>361</v>
      </c>
      <c r="AF39" s="69">
        <v>32</v>
      </c>
      <c r="AG39" s="91">
        <v>66</v>
      </c>
      <c r="AH39" s="9"/>
      <c r="AI39" s="9"/>
      <c r="AJ39" s="9"/>
      <c r="AK39" s="9"/>
      <c r="AL39" s="9"/>
      <c r="AM39" s="9"/>
      <c r="AN39" s="76"/>
      <c r="AO39" s="76"/>
      <c r="AP39" s="91">
        <v>8</v>
      </c>
      <c r="AQ39" s="91">
        <v>46</v>
      </c>
      <c r="AR39" s="9">
        <v>113</v>
      </c>
      <c r="AS39" s="9">
        <v>956</v>
      </c>
      <c r="AT39" s="91">
        <v>168</v>
      </c>
      <c r="AU39" s="91">
        <v>624</v>
      </c>
      <c r="AV39" s="91">
        <v>94</v>
      </c>
      <c r="AW39" s="91">
        <v>361</v>
      </c>
      <c r="AX39" s="91">
        <v>35</v>
      </c>
      <c r="AY39" s="91">
        <v>104</v>
      </c>
      <c r="AZ39" s="9"/>
      <c r="BA39" s="9"/>
      <c r="BB39" s="91">
        <v>287</v>
      </c>
      <c r="BC39" s="91">
        <v>977</v>
      </c>
      <c r="BD39" s="76"/>
      <c r="BE39" s="76"/>
      <c r="BF39" s="91">
        <v>604</v>
      </c>
      <c r="BG39" s="91">
        <v>2114</v>
      </c>
      <c r="BH39" s="9"/>
      <c r="BI39" s="9"/>
      <c r="BJ39" s="91">
        <v>11</v>
      </c>
      <c r="BK39" s="91">
        <v>63</v>
      </c>
      <c r="BL39" s="68">
        <f t="shared" ref="BL39:BL45" si="6">SUM(B39+D39+F39+H39+J39+L39+N39+P39+R39+T39+V39+X39+Z39+AB39+AD39+AF39+AH39+AJ39+AL39+AN39+AP39+AR39+AT39+AV39+AX39+AZ39+BB39+BD39+BF39+BH39+BJ39)</f>
        <v>3381.25</v>
      </c>
      <c r="BM39" s="68">
        <f t="shared" ref="BM39:BM45" si="7">SUM(C39+E39+G39+I39+K39+M39+O39+Q39+S39+U39+W39+Y39+AA39+AC39+AE39+AG39+AI39+AK39+AM39+AO39+AQ39+AS39+AU39+AW39+AY39+BA39+BC39+BE39+BG39+BI39+BK39)</f>
        <v>13608.61</v>
      </c>
    </row>
    <row r="40" spans="1:65" s="71" customFormat="1" x14ac:dyDescent="0.25">
      <c r="A40" s="24" t="s">
        <v>288</v>
      </c>
      <c r="B40" s="91"/>
      <c r="C40" s="91"/>
      <c r="D40" s="91"/>
      <c r="E40" s="91"/>
      <c r="F40" s="91"/>
      <c r="G40" s="91"/>
      <c r="H40" s="91">
        <v>8</v>
      </c>
      <c r="I40" s="91">
        <v>365</v>
      </c>
      <c r="J40" s="91"/>
      <c r="K40" s="91"/>
      <c r="L40" s="91">
        <v>10</v>
      </c>
      <c r="M40" s="91">
        <v>18</v>
      </c>
      <c r="N40" s="91"/>
      <c r="O40" s="91"/>
      <c r="P40" s="91">
        <v>7.0000000000000007E-2</v>
      </c>
      <c r="Q40" s="91">
        <v>0.12</v>
      </c>
      <c r="R40" s="91">
        <v>20.87</v>
      </c>
      <c r="S40" s="91">
        <v>43.79</v>
      </c>
      <c r="T40" s="91">
        <v>29</v>
      </c>
      <c r="U40" s="91">
        <v>75</v>
      </c>
      <c r="V40" s="91">
        <v>76</v>
      </c>
      <c r="W40" s="91">
        <v>315</v>
      </c>
      <c r="X40" s="91">
        <v>126</v>
      </c>
      <c r="Y40" s="91">
        <v>635</v>
      </c>
      <c r="Z40" s="91">
        <v>150</v>
      </c>
      <c r="AA40" s="91">
        <v>512</v>
      </c>
      <c r="AB40" s="91">
        <v>3</v>
      </c>
      <c r="AC40" s="91">
        <v>9.7100000000000009</v>
      </c>
      <c r="AD40" s="91">
        <v>7</v>
      </c>
      <c r="AE40" s="91">
        <v>50</v>
      </c>
      <c r="AF40" s="69">
        <v>2</v>
      </c>
      <c r="AG40" s="91">
        <v>13</v>
      </c>
      <c r="AH40" s="91"/>
      <c r="AI40" s="91"/>
      <c r="AJ40" s="91"/>
      <c r="AK40" s="91"/>
      <c r="AL40" s="91"/>
      <c r="AM40" s="91"/>
      <c r="AN40" s="91"/>
      <c r="AO40" s="91"/>
      <c r="AP40" s="91">
        <v>1</v>
      </c>
      <c r="AQ40" s="91">
        <v>20</v>
      </c>
      <c r="AR40" s="91">
        <v>50</v>
      </c>
      <c r="AS40" s="91">
        <v>227</v>
      </c>
      <c r="AT40" s="91">
        <v>45</v>
      </c>
      <c r="AU40" s="91">
        <v>156</v>
      </c>
      <c r="AV40" s="91">
        <v>28</v>
      </c>
      <c r="AW40" s="91">
        <v>115</v>
      </c>
      <c r="AX40" s="91">
        <v>3</v>
      </c>
      <c r="AY40" s="91">
        <v>15</v>
      </c>
      <c r="AZ40" s="91"/>
      <c r="BA40" s="91"/>
      <c r="BB40" s="91">
        <v>85</v>
      </c>
      <c r="BC40" s="91">
        <v>176</v>
      </c>
      <c r="BD40" s="91"/>
      <c r="BE40" s="91"/>
      <c r="BF40" s="91">
        <v>109</v>
      </c>
      <c r="BG40" s="91">
        <v>287</v>
      </c>
      <c r="BH40" s="91"/>
      <c r="BI40" s="91"/>
      <c r="BJ40" s="91">
        <v>0</v>
      </c>
      <c r="BK40" s="91">
        <v>4</v>
      </c>
      <c r="BL40" s="68">
        <f t="shared" si="6"/>
        <v>752.94</v>
      </c>
      <c r="BM40" s="68">
        <f t="shared" si="7"/>
        <v>3036.62</v>
      </c>
    </row>
    <row r="41" spans="1:65" s="71" customFormat="1" x14ac:dyDescent="0.25">
      <c r="A41" s="24" t="s">
        <v>289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69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>
        <v>0</v>
      </c>
      <c r="AX41" s="91"/>
      <c r="AY41" s="91"/>
      <c r="AZ41" s="91"/>
      <c r="BA41" s="91"/>
      <c r="BB41" s="91"/>
      <c r="BC41" s="91"/>
      <c r="BD41" s="91"/>
      <c r="BE41" s="91"/>
      <c r="BF41" s="91">
        <v>0</v>
      </c>
      <c r="BG41" s="91"/>
      <c r="BH41" s="91"/>
      <c r="BI41" s="91"/>
      <c r="BJ41" s="91"/>
      <c r="BK41" s="91"/>
      <c r="BL41" s="68">
        <f t="shared" si="6"/>
        <v>0</v>
      </c>
      <c r="BM41" s="68">
        <f t="shared" si="7"/>
        <v>0</v>
      </c>
    </row>
    <row r="42" spans="1:65" s="7" customFormat="1" x14ac:dyDescent="0.25">
      <c r="A42" s="10" t="s">
        <v>290</v>
      </c>
      <c r="B42" s="10"/>
      <c r="C42" s="10"/>
      <c r="D42" s="10"/>
      <c r="E42" s="10"/>
      <c r="F42" s="10"/>
      <c r="G42" s="10"/>
      <c r="H42" s="10">
        <v>454</v>
      </c>
      <c r="I42" s="10">
        <v>1922</v>
      </c>
      <c r="J42" s="10"/>
      <c r="K42" s="10"/>
      <c r="L42" s="10">
        <v>75</v>
      </c>
      <c r="M42" s="10">
        <v>262</v>
      </c>
      <c r="N42" s="10"/>
      <c r="O42" s="10"/>
      <c r="P42" s="10">
        <v>0.94</v>
      </c>
      <c r="Q42" s="10">
        <v>3.9</v>
      </c>
      <c r="R42" s="10">
        <v>202.17</v>
      </c>
      <c r="S42" s="10">
        <v>654.19000000000005</v>
      </c>
      <c r="T42" s="10">
        <v>55</v>
      </c>
      <c r="U42" s="10">
        <v>264</v>
      </c>
      <c r="V42" s="10">
        <v>317</v>
      </c>
      <c r="W42" s="10">
        <v>1355</v>
      </c>
      <c r="X42" s="10">
        <v>773</v>
      </c>
      <c r="Y42" s="10">
        <v>3666</v>
      </c>
      <c r="Z42" s="10">
        <v>482</v>
      </c>
      <c r="AA42" s="10">
        <v>1740</v>
      </c>
      <c r="AB42" s="10">
        <v>13.08</v>
      </c>
      <c r="AC42" s="10">
        <v>44.15</v>
      </c>
      <c r="AD42" s="10">
        <v>87</v>
      </c>
      <c r="AE42" s="10">
        <v>410</v>
      </c>
      <c r="AF42" s="10">
        <v>35</v>
      </c>
      <c r="AG42" s="10">
        <v>80</v>
      </c>
      <c r="AH42" s="10"/>
      <c r="AI42" s="10"/>
      <c r="AJ42" s="10"/>
      <c r="AK42" s="10"/>
      <c r="AL42" s="10">
        <v>957</v>
      </c>
      <c r="AM42" s="10">
        <v>3009</v>
      </c>
      <c r="AN42" s="10"/>
      <c r="AO42" s="10"/>
      <c r="AP42" s="10">
        <v>9</v>
      </c>
      <c r="AQ42" s="10">
        <v>65</v>
      </c>
      <c r="AR42" s="10">
        <v>164</v>
      </c>
      <c r="AS42" s="10">
        <v>1183</v>
      </c>
      <c r="AT42" s="10">
        <v>213</v>
      </c>
      <c r="AU42" s="10">
        <v>780</v>
      </c>
      <c r="AV42" s="10">
        <v>121</v>
      </c>
      <c r="AW42" s="10">
        <v>476</v>
      </c>
      <c r="AX42" s="10">
        <v>38</v>
      </c>
      <c r="AY42" s="10">
        <v>118</v>
      </c>
      <c r="AZ42" s="10"/>
      <c r="BA42" s="10"/>
      <c r="BB42" s="10">
        <v>372</v>
      </c>
      <c r="BC42" s="10">
        <v>1153</v>
      </c>
      <c r="BD42" s="10">
        <v>2442</v>
      </c>
      <c r="BE42" s="10">
        <v>8777</v>
      </c>
      <c r="BF42" s="10">
        <v>713</v>
      </c>
      <c r="BG42" s="10">
        <v>2401</v>
      </c>
      <c r="BH42" s="10">
        <v>1190</v>
      </c>
      <c r="BI42" s="10">
        <v>1190</v>
      </c>
      <c r="BJ42" s="10">
        <v>11</v>
      </c>
      <c r="BK42" s="10">
        <v>67</v>
      </c>
      <c r="BL42" s="63">
        <f t="shared" si="6"/>
        <v>8724.19</v>
      </c>
      <c r="BM42" s="63">
        <f t="shared" si="7"/>
        <v>29620.239999999998</v>
      </c>
    </row>
    <row r="43" spans="1:65" x14ac:dyDescent="0.25">
      <c r="A43" s="24" t="s">
        <v>291</v>
      </c>
      <c r="B43" s="9"/>
      <c r="C43" s="9"/>
      <c r="D43" s="9"/>
      <c r="E43" s="9"/>
      <c r="F43" s="9"/>
      <c r="G43" s="9"/>
      <c r="H43" s="91">
        <v>17</v>
      </c>
      <c r="I43" s="91">
        <v>104</v>
      </c>
      <c r="J43" s="76"/>
      <c r="K43" s="76"/>
      <c r="L43" s="91">
        <v>1</v>
      </c>
      <c r="M43" s="91">
        <v>4</v>
      </c>
      <c r="N43" s="76"/>
      <c r="O43" s="76"/>
      <c r="P43" s="91">
        <v>1.88</v>
      </c>
      <c r="Q43" s="91">
        <v>6.13</v>
      </c>
      <c r="R43" s="91">
        <v>5.55</v>
      </c>
      <c r="S43" s="91">
        <v>70.58</v>
      </c>
      <c r="T43" s="91">
        <v>20</v>
      </c>
      <c r="U43" s="91">
        <v>59</v>
      </c>
      <c r="V43" s="91">
        <v>15</v>
      </c>
      <c r="W43" s="91">
        <v>61</v>
      </c>
      <c r="X43" s="91">
        <v>29</v>
      </c>
      <c r="Y43" s="91">
        <v>337</v>
      </c>
      <c r="Z43" s="91">
        <v>15</v>
      </c>
      <c r="AA43" s="91">
        <v>50</v>
      </c>
      <c r="AB43" s="91">
        <v>0.41</v>
      </c>
      <c r="AC43" s="91">
        <v>1.21</v>
      </c>
      <c r="AD43" s="91">
        <v>1</v>
      </c>
      <c r="AE43" s="91">
        <v>4</v>
      </c>
      <c r="AF43" s="69">
        <v>11</v>
      </c>
      <c r="AG43" s="91">
        <v>30</v>
      </c>
      <c r="AH43" s="9"/>
      <c r="AI43" s="9"/>
      <c r="AJ43" s="9"/>
      <c r="AK43" s="9"/>
      <c r="AL43" s="91">
        <v>269</v>
      </c>
      <c r="AM43" s="91">
        <v>567</v>
      </c>
      <c r="AN43" s="76"/>
      <c r="AO43" s="91">
        <v>1</v>
      </c>
      <c r="AP43" s="91">
        <v>5</v>
      </c>
      <c r="AQ43" s="91">
        <v>24</v>
      </c>
      <c r="AR43" s="9">
        <v>6</v>
      </c>
      <c r="AS43" s="9">
        <v>35</v>
      </c>
      <c r="AT43" s="91">
        <v>23</v>
      </c>
      <c r="AU43" s="91">
        <v>75</v>
      </c>
      <c r="AV43" s="91">
        <v>2</v>
      </c>
      <c r="AW43" s="91">
        <v>9</v>
      </c>
      <c r="AX43" s="91">
        <v>3</v>
      </c>
      <c r="AY43" s="91">
        <v>11</v>
      </c>
      <c r="AZ43" s="9"/>
      <c r="BA43" s="9"/>
      <c r="BB43" s="91">
        <v>32</v>
      </c>
      <c r="BC43" s="91">
        <v>63</v>
      </c>
      <c r="BD43" s="91">
        <v>201</v>
      </c>
      <c r="BE43" s="91">
        <v>944</v>
      </c>
      <c r="BF43" s="91">
        <v>172</v>
      </c>
      <c r="BG43" s="91">
        <v>1596</v>
      </c>
      <c r="BH43" s="91">
        <v>158</v>
      </c>
      <c r="BI43" s="91">
        <v>158</v>
      </c>
      <c r="BJ43" s="91">
        <v>3</v>
      </c>
      <c r="BK43" s="91">
        <v>7</v>
      </c>
      <c r="BL43" s="68">
        <f t="shared" si="6"/>
        <v>990.84</v>
      </c>
      <c r="BM43" s="68">
        <f t="shared" si="7"/>
        <v>4216.92</v>
      </c>
    </row>
    <row r="44" spans="1:65" x14ac:dyDescent="0.25">
      <c r="A44" s="24" t="s">
        <v>292</v>
      </c>
      <c r="B44" s="9"/>
      <c r="C44" s="9"/>
      <c r="D44" s="9"/>
      <c r="E44" s="9"/>
      <c r="F44" s="9"/>
      <c r="G44" s="9"/>
      <c r="H44" s="91">
        <v>-947</v>
      </c>
      <c r="I44" s="91">
        <v>-3690</v>
      </c>
      <c r="J44" s="76"/>
      <c r="K44" s="76"/>
      <c r="L44" s="91">
        <v>197</v>
      </c>
      <c r="M44" s="91">
        <v>470</v>
      </c>
      <c r="N44" s="76"/>
      <c r="O44" s="76"/>
      <c r="P44" s="91">
        <v>15.34</v>
      </c>
      <c r="Q44" s="91">
        <v>70.81</v>
      </c>
      <c r="R44" s="91">
        <v>191.43</v>
      </c>
      <c r="S44" s="91">
        <v>1100.02</v>
      </c>
      <c r="T44" s="91">
        <v>-227</v>
      </c>
      <c r="U44" s="91">
        <v>-670</v>
      </c>
      <c r="V44" s="91">
        <v>-625</v>
      </c>
      <c r="W44" s="91">
        <v>-2852</v>
      </c>
      <c r="X44" s="91">
        <v>1459</v>
      </c>
      <c r="Y44" s="91">
        <v>5464</v>
      </c>
      <c r="Z44" s="91">
        <v>62</v>
      </c>
      <c r="AA44" s="91">
        <v>987</v>
      </c>
      <c r="AB44" s="91">
        <v>17.59</v>
      </c>
      <c r="AC44" s="91">
        <v>68.81</v>
      </c>
      <c r="AD44" s="91">
        <v>135</v>
      </c>
      <c r="AE44" s="91">
        <v>515</v>
      </c>
      <c r="AF44" s="69">
        <v>-57</v>
      </c>
      <c r="AG44" s="91">
        <v>-123</v>
      </c>
      <c r="AH44" s="9"/>
      <c r="AI44" s="9"/>
      <c r="AJ44" s="9"/>
      <c r="AK44" s="9"/>
      <c r="AL44" s="91">
        <v>280</v>
      </c>
      <c r="AM44" s="91">
        <v>1361</v>
      </c>
      <c r="AN44" s="91">
        <v>-1</v>
      </c>
      <c r="AO44" s="91">
        <v>-1</v>
      </c>
      <c r="AP44" s="91">
        <v>12</v>
      </c>
      <c r="AQ44" s="91">
        <v>59</v>
      </c>
      <c r="AR44" s="9">
        <v>223</v>
      </c>
      <c r="AS44" s="9">
        <v>1026</v>
      </c>
      <c r="AT44" s="91">
        <v>374</v>
      </c>
      <c r="AU44" s="91">
        <v>1549</v>
      </c>
      <c r="AV44" s="91">
        <v>189</v>
      </c>
      <c r="AW44" s="91">
        <v>995</v>
      </c>
      <c r="AX44" s="91">
        <v>63</v>
      </c>
      <c r="AY44" s="91">
        <v>143</v>
      </c>
      <c r="AZ44" s="9"/>
      <c r="BA44" s="9"/>
      <c r="BB44" s="91">
        <v>943</v>
      </c>
      <c r="BC44" s="91">
        <v>3476</v>
      </c>
      <c r="BD44" s="91">
        <v>2272</v>
      </c>
      <c r="BE44" s="91">
        <v>6983</v>
      </c>
      <c r="BF44" s="91">
        <v>-1</v>
      </c>
      <c r="BG44" s="91">
        <v>1018</v>
      </c>
      <c r="BH44" s="91">
        <v>257</v>
      </c>
      <c r="BI44" s="91">
        <v>257</v>
      </c>
      <c r="BJ44" s="91">
        <v>20</v>
      </c>
      <c r="BK44" s="91">
        <v>171</v>
      </c>
      <c r="BL44" s="68">
        <f t="shared" si="6"/>
        <v>4852.3600000000006</v>
      </c>
      <c r="BM44" s="68">
        <f t="shared" si="7"/>
        <v>18377.64</v>
      </c>
    </row>
    <row r="45" spans="1:65" s="7" customFormat="1" x14ac:dyDescent="0.25">
      <c r="A45" s="10" t="s">
        <v>190</v>
      </c>
      <c r="B45" s="10"/>
      <c r="C45" s="10"/>
      <c r="D45" s="10"/>
      <c r="E45" s="10"/>
      <c r="F45" s="10"/>
      <c r="G45" s="10"/>
      <c r="H45" s="10">
        <v>-476</v>
      </c>
      <c r="I45" s="10">
        <v>-1664</v>
      </c>
      <c r="J45" s="10"/>
      <c r="K45" s="10"/>
      <c r="L45" s="10">
        <v>-121</v>
      </c>
      <c r="M45" s="10">
        <v>-203</v>
      </c>
      <c r="N45" s="10"/>
      <c r="O45" s="10"/>
      <c r="P45" s="10">
        <v>-12.52</v>
      </c>
      <c r="Q45" s="10">
        <v>-60.78</v>
      </c>
      <c r="R45" s="10">
        <v>16.29</v>
      </c>
      <c r="S45" s="10">
        <v>-375.26</v>
      </c>
      <c r="T45" s="10">
        <v>-152</v>
      </c>
      <c r="U45" s="10">
        <v>-347</v>
      </c>
      <c r="V45" s="10">
        <v>-293</v>
      </c>
      <c r="W45" s="10">
        <v>-1436</v>
      </c>
      <c r="X45" s="10">
        <v>-657</v>
      </c>
      <c r="Y45" s="10">
        <v>-1461</v>
      </c>
      <c r="Z45" s="10">
        <v>435</v>
      </c>
      <c r="AA45" s="10">
        <v>803</v>
      </c>
      <c r="AB45" s="10">
        <v>-4.0999999999999996</v>
      </c>
      <c r="AC45" s="10">
        <v>-23.45</v>
      </c>
      <c r="AD45" s="10">
        <v>-47</v>
      </c>
      <c r="AE45" s="10">
        <v>-101</v>
      </c>
      <c r="AF45" s="10">
        <v>-11</v>
      </c>
      <c r="AG45" s="10">
        <v>-14</v>
      </c>
      <c r="AH45" s="10"/>
      <c r="AI45" s="10"/>
      <c r="AJ45" s="10"/>
      <c r="AK45" s="10"/>
      <c r="AL45" s="10">
        <v>947</v>
      </c>
      <c r="AM45" s="10">
        <v>2215</v>
      </c>
      <c r="AN45" s="10">
        <v>0</v>
      </c>
      <c r="AO45" s="10">
        <v>0</v>
      </c>
      <c r="AP45" s="10">
        <v>2</v>
      </c>
      <c r="AQ45" s="10">
        <v>29</v>
      </c>
      <c r="AR45" s="10">
        <v>-53</v>
      </c>
      <c r="AS45" s="10">
        <v>192</v>
      </c>
      <c r="AT45" s="10">
        <v>-138</v>
      </c>
      <c r="AU45" s="10">
        <v>-694</v>
      </c>
      <c r="AV45" s="10">
        <v>-65</v>
      </c>
      <c r="AW45" s="10">
        <v>-510</v>
      </c>
      <c r="AX45" s="10">
        <v>-23</v>
      </c>
      <c r="AY45" s="10">
        <v>-14</v>
      </c>
      <c r="AZ45" s="10"/>
      <c r="BA45" s="10"/>
      <c r="BB45" s="10">
        <v>-539</v>
      </c>
      <c r="BC45" s="10">
        <v>-2260</v>
      </c>
      <c r="BD45" s="10">
        <v>372</v>
      </c>
      <c r="BE45" s="10">
        <v>2739</v>
      </c>
      <c r="BF45" s="10">
        <v>886</v>
      </c>
      <c r="BG45" s="10">
        <v>2980</v>
      </c>
      <c r="BH45" s="10">
        <v>1090</v>
      </c>
      <c r="BI45" s="10">
        <v>1090</v>
      </c>
      <c r="BJ45" s="10">
        <v>-7</v>
      </c>
      <c r="BK45" s="10">
        <v>-98</v>
      </c>
      <c r="BL45" s="63">
        <f t="shared" si="6"/>
        <v>1149.67</v>
      </c>
      <c r="BM45" s="63">
        <f t="shared" si="7"/>
        <v>786.51000000000022</v>
      </c>
    </row>
    <row r="46" spans="1:65" x14ac:dyDescent="0.25">
      <c r="A46" s="22"/>
    </row>
    <row r="47" spans="1:65" x14ac:dyDescent="0.25">
      <c r="A47" s="23" t="s">
        <v>186</v>
      </c>
    </row>
    <row r="48" spans="1:65" x14ac:dyDescent="0.25">
      <c r="A48" s="3" t="s">
        <v>0</v>
      </c>
      <c r="B48" s="154" t="s">
        <v>1</v>
      </c>
      <c r="C48" s="155"/>
      <c r="D48" s="154" t="s">
        <v>234</v>
      </c>
      <c r="E48" s="155"/>
      <c r="F48" s="154" t="s">
        <v>2</v>
      </c>
      <c r="G48" s="155"/>
      <c r="H48" s="154" t="s">
        <v>3</v>
      </c>
      <c r="I48" s="155"/>
      <c r="J48" s="154" t="s">
        <v>243</v>
      </c>
      <c r="K48" s="155"/>
      <c r="L48" s="154" t="s">
        <v>235</v>
      </c>
      <c r="M48" s="155"/>
      <c r="N48" s="154" t="s">
        <v>5</v>
      </c>
      <c r="O48" s="155"/>
      <c r="P48" s="154" t="s">
        <v>4</v>
      </c>
      <c r="Q48" s="155"/>
      <c r="R48" s="154" t="s">
        <v>6</v>
      </c>
      <c r="S48" s="155"/>
      <c r="T48" s="154" t="s">
        <v>246</v>
      </c>
      <c r="U48" s="155"/>
      <c r="V48" s="154" t="s">
        <v>7</v>
      </c>
      <c r="W48" s="155"/>
      <c r="X48" s="154" t="s">
        <v>8</v>
      </c>
      <c r="Y48" s="155"/>
      <c r="Z48" s="154" t="s">
        <v>9</v>
      </c>
      <c r="AA48" s="155"/>
      <c r="AB48" s="154" t="s">
        <v>242</v>
      </c>
      <c r="AC48" s="155"/>
      <c r="AD48" s="154" t="s">
        <v>10</v>
      </c>
      <c r="AE48" s="155"/>
      <c r="AF48" s="154" t="s">
        <v>11</v>
      </c>
      <c r="AG48" s="155"/>
      <c r="AH48" s="154" t="s">
        <v>236</v>
      </c>
      <c r="AI48" s="155"/>
      <c r="AJ48" s="154" t="s">
        <v>245</v>
      </c>
      <c r="AK48" s="155"/>
      <c r="AL48" s="154" t="s">
        <v>12</v>
      </c>
      <c r="AM48" s="155"/>
      <c r="AN48" s="154" t="s">
        <v>237</v>
      </c>
      <c r="AO48" s="155"/>
      <c r="AP48" s="154" t="s">
        <v>238</v>
      </c>
      <c r="AQ48" s="155"/>
      <c r="AR48" s="154" t="s">
        <v>241</v>
      </c>
      <c r="AS48" s="155"/>
      <c r="AT48" s="154" t="s">
        <v>13</v>
      </c>
      <c r="AU48" s="155"/>
      <c r="AV48" s="154" t="s">
        <v>14</v>
      </c>
      <c r="AW48" s="155"/>
      <c r="AX48" s="154" t="s">
        <v>15</v>
      </c>
      <c r="AY48" s="155"/>
      <c r="AZ48" s="154" t="s">
        <v>16</v>
      </c>
      <c r="BA48" s="155"/>
      <c r="BB48" s="154" t="s">
        <v>17</v>
      </c>
      <c r="BC48" s="155"/>
      <c r="BD48" s="154" t="s">
        <v>239</v>
      </c>
      <c r="BE48" s="155"/>
      <c r="BF48" s="154" t="s">
        <v>240</v>
      </c>
      <c r="BG48" s="155"/>
      <c r="BH48" s="154" t="s">
        <v>18</v>
      </c>
      <c r="BI48" s="155"/>
      <c r="BJ48" s="154" t="s">
        <v>19</v>
      </c>
      <c r="BK48" s="155"/>
      <c r="BL48" s="156" t="s">
        <v>20</v>
      </c>
      <c r="BM48" s="157"/>
    </row>
    <row r="49" spans="1:65" ht="30" x14ac:dyDescent="0.25">
      <c r="A49" s="3"/>
      <c r="B49" s="53" t="s">
        <v>300</v>
      </c>
      <c r="C49" s="54" t="s">
        <v>301</v>
      </c>
      <c r="D49" s="53" t="s">
        <v>300</v>
      </c>
      <c r="E49" s="54" t="s">
        <v>301</v>
      </c>
      <c r="F49" s="53" t="s">
        <v>300</v>
      </c>
      <c r="G49" s="54" t="s">
        <v>301</v>
      </c>
      <c r="H49" s="53" t="s">
        <v>300</v>
      </c>
      <c r="I49" s="54" t="s">
        <v>301</v>
      </c>
      <c r="J49" s="53" t="s">
        <v>300</v>
      </c>
      <c r="K49" s="54" t="s">
        <v>301</v>
      </c>
      <c r="L49" s="53" t="s">
        <v>300</v>
      </c>
      <c r="M49" s="54" t="s">
        <v>301</v>
      </c>
      <c r="N49" s="53" t="s">
        <v>300</v>
      </c>
      <c r="O49" s="54" t="s">
        <v>301</v>
      </c>
      <c r="P49" s="53" t="s">
        <v>300</v>
      </c>
      <c r="Q49" s="54" t="s">
        <v>301</v>
      </c>
      <c r="R49" s="53" t="s">
        <v>300</v>
      </c>
      <c r="S49" s="54" t="s">
        <v>301</v>
      </c>
      <c r="T49" s="53" t="s">
        <v>300</v>
      </c>
      <c r="U49" s="54" t="s">
        <v>301</v>
      </c>
      <c r="V49" s="53" t="s">
        <v>300</v>
      </c>
      <c r="W49" s="54" t="s">
        <v>301</v>
      </c>
      <c r="X49" s="53" t="s">
        <v>300</v>
      </c>
      <c r="Y49" s="54" t="s">
        <v>301</v>
      </c>
      <c r="Z49" s="53" t="s">
        <v>300</v>
      </c>
      <c r="AA49" s="54" t="s">
        <v>301</v>
      </c>
      <c r="AB49" s="53" t="s">
        <v>300</v>
      </c>
      <c r="AC49" s="54" t="s">
        <v>301</v>
      </c>
      <c r="AD49" s="53" t="s">
        <v>300</v>
      </c>
      <c r="AE49" s="54" t="s">
        <v>301</v>
      </c>
      <c r="AF49" s="53" t="s">
        <v>300</v>
      </c>
      <c r="AG49" s="54" t="s">
        <v>301</v>
      </c>
      <c r="AH49" s="53" t="s">
        <v>300</v>
      </c>
      <c r="AI49" s="54" t="s">
        <v>301</v>
      </c>
      <c r="AJ49" s="53" t="s">
        <v>300</v>
      </c>
      <c r="AK49" s="54" t="s">
        <v>301</v>
      </c>
      <c r="AL49" s="53" t="s">
        <v>300</v>
      </c>
      <c r="AM49" s="54" t="s">
        <v>301</v>
      </c>
      <c r="AN49" s="53" t="s">
        <v>300</v>
      </c>
      <c r="AO49" s="54" t="s">
        <v>301</v>
      </c>
      <c r="AP49" s="53" t="s">
        <v>300</v>
      </c>
      <c r="AQ49" s="54" t="s">
        <v>301</v>
      </c>
      <c r="AR49" s="53" t="s">
        <v>300</v>
      </c>
      <c r="AS49" s="54" t="s">
        <v>301</v>
      </c>
      <c r="AT49" s="53" t="s">
        <v>300</v>
      </c>
      <c r="AU49" s="54" t="s">
        <v>301</v>
      </c>
      <c r="AV49" s="53" t="s">
        <v>300</v>
      </c>
      <c r="AW49" s="54" t="s">
        <v>301</v>
      </c>
      <c r="AX49" s="53" t="s">
        <v>300</v>
      </c>
      <c r="AY49" s="54" t="s">
        <v>301</v>
      </c>
      <c r="AZ49" s="53" t="s">
        <v>300</v>
      </c>
      <c r="BA49" s="54" t="s">
        <v>301</v>
      </c>
      <c r="BB49" s="53" t="s">
        <v>300</v>
      </c>
      <c r="BC49" s="54" t="s">
        <v>301</v>
      </c>
      <c r="BD49" s="53" t="s">
        <v>300</v>
      </c>
      <c r="BE49" s="54" t="s">
        <v>301</v>
      </c>
      <c r="BF49" s="53" t="s">
        <v>300</v>
      </c>
      <c r="BG49" s="54" t="s">
        <v>301</v>
      </c>
      <c r="BH49" s="53" t="s">
        <v>300</v>
      </c>
      <c r="BI49" s="54" t="s">
        <v>301</v>
      </c>
      <c r="BJ49" s="53" t="s">
        <v>300</v>
      </c>
      <c r="BK49" s="54" t="s">
        <v>301</v>
      </c>
      <c r="BL49" s="104" t="s">
        <v>300</v>
      </c>
      <c r="BM49" s="105" t="s">
        <v>301</v>
      </c>
    </row>
    <row r="50" spans="1:65" x14ac:dyDescent="0.25">
      <c r="A50" s="24" t="s">
        <v>287</v>
      </c>
      <c r="B50" s="91">
        <v>399</v>
      </c>
      <c r="C50" s="91">
        <v>1489</v>
      </c>
      <c r="D50" s="91">
        <v>4742</v>
      </c>
      <c r="E50" s="91">
        <v>5932</v>
      </c>
      <c r="F50" s="9"/>
      <c r="G50" s="9"/>
      <c r="H50" s="91">
        <v>5159</v>
      </c>
      <c r="I50" s="91">
        <v>17538</v>
      </c>
      <c r="J50" s="91">
        <v>11612</v>
      </c>
      <c r="K50" s="91">
        <v>35234</v>
      </c>
      <c r="L50" s="91">
        <v>1562</v>
      </c>
      <c r="M50" s="91">
        <v>5158</v>
      </c>
      <c r="N50" s="76"/>
      <c r="O50" s="76"/>
      <c r="P50" s="91">
        <v>69.599999999999994</v>
      </c>
      <c r="Q50" s="91">
        <v>612.03</v>
      </c>
      <c r="R50" s="91">
        <v>783.53</v>
      </c>
      <c r="S50" s="91">
        <v>2663.93</v>
      </c>
      <c r="T50" s="91">
        <v>321</v>
      </c>
      <c r="U50" s="91">
        <v>2391</v>
      </c>
      <c r="V50" s="91">
        <v>16444</v>
      </c>
      <c r="W50" s="91">
        <v>50190</v>
      </c>
      <c r="X50" s="91">
        <v>7414</v>
      </c>
      <c r="Y50" s="91">
        <v>25080</v>
      </c>
      <c r="Z50" s="91">
        <v>1806</v>
      </c>
      <c r="AA50" s="91">
        <v>7067</v>
      </c>
      <c r="AB50" s="91">
        <v>514.52</v>
      </c>
      <c r="AC50" s="91">
        <v>1500.07</v>
      </c>
      <c r="AD50" s="91">
        <v>674</v>
      </c>
      <c r="AE50" s="91">
        <v>1815</v>
      </c>
      <c r="AF50" s="69">
        <v>180</v>
      </c>
      <c r="AG50" s="91">
        <v>706</v>
      </c>
      <c r="AH50" s="91">
        <v>2948.12</v>
      </c>
      <c r="AI50" s="91">
        <v>9626.77</v>
      </c>
      <c r="AJ50" s="91">
        <v>8959</v>
      </c>
      <c r="AK50" s="91">
        <v>27765</v>
      </c>
      <c r="AL50" s="76"/>
      <c r="AM50" s="76"/>
      <c r="AN50" s="91">
        <v>149</v>
      </c>
      <c r="AO50" s="91">
        <v>310</v>
      </c>
      <c r="AP50" s="91">
        <v>11</v>
      </c>
      <c r="AQ50" s="91">
        <v>40</v>
      </c>
      <c r="AR50" s="76">
        <v>1690</v>
      </c>
      <c r="AS50" s="76">
        <v>6284</v>
      </c>
      <c r="AT50" s="91">
        <v>981</v>
      </c>
      <c r="AU50" s="91">
        <v>3703</v>
      </c>
      <c r="AV50" s="91">
        <v>5206</v>
      </c>
      <c r="AW50" s="91">
        <v>14396</v>
      </c>
      <c r="AX50" s="91">
        <v>3</v>
      </c>
      <c r="AY50" s="91">
        <v>120</v>
      </c>
      <c r="AZ50" s="91">
        <v>46983</v>
      </c>
      <c r="BA50" s="91">
        <v>140736</v>
      </c>
      <c r="BB50" s="91">
        <v>4863</v>
      </c>
      <c r="BC50" s="91">
        <v>15008</v>
      </c>
      <c r="BD50" s="76"/>
      <c r="BE50" s="76"/>
      <c r="BF50" s="91">
        <v>9563</v>
      </c>
      <c r="BG50" s="91">
        <v>35028</v>
      </c>
      <c r="BH50" s="9"/>
      <c r="BI50" s="9"/>
      <c r="BJ50" s="91">
        <v>586</v>
      </c>
      <c r="BK50" s="91">
        <v>3043</v>
      </c>
      <c r="BL50" s="68">
        <f t="shared" ref="BL50:BL56" si="8">SUM(B50+D50+F50+H50+J50+L50+N50+P50+R50+T50+V50+X50+Z50+AB50+AD50+AF50+AH50+AJ50+AL50+AN50+AP50+AR50+AT50+AV50+AX50+AZ50+BB50+BD50+BF50+BH50+BJ50)</f>
        <v>133622.76999999999</v>
      </c>
      <c r="BM50" s="68">
        <f t="shared" ref="BM50:BM56" si="9">SUM(C50+E50+G50+I50+K50+M50+O50+Q50+S50+U50+W50+Y50+AA50+AC50+AE50+AG50+AI50+AK50+AM50+AO50+AQ50+AS50+AU50+AW50+AY50+BA50+BC50+BE50+BG50+BI50+BK50)</f>
        <v>413435.8</v>
      </c>
    </row>
    <row r="51" spans="1:65" s="71" customFormat="1" x14ac:dyDescent="0.25">
      <c r="A51" s="24" t="s">
        <v>288</v>
      </c>
      <c r="B51" s="91">
        <v>38</v>
      </c>
      <c r="C51" s="91">
        <v>138</v>
      </c>
      <c r="D51" s="91">
        <v>418</v>
      </c>
      <c r="E51" s="91">
        <v>573</v>
      </c>
      <c r="F51" s="91"/>
      <c r="G51" s="91"/>
      <c r="H51" s="91">
        <v>457</v>
      </c>
      <c r="I51" s="91">
        <v>741</v>
      </c>
      <c r="J51" s="91">
        <v>1315</v>
      </c>
      <c r="K51" s="91">
        <v>7416</v>
      </c>
      <c r="L51" s="91">
        <v>70</v>
      </c>
      <c r="M51" s="91">
        <v>280</v>
      </c>
      <c r="N51" s="91"/>
      <c r="O51" s="91"/>
      <c r="P51" s="91">
        <v>12.63</v>
      </c>
      <c r="Q51" s="91">
        <v>51.85</v>
      </c>
      <c r="R51" s="91">
        <v>24.4</v>
      </c>
      <c r="S51" s="91">
        <v>43.46</v>
      </c>
      <c r="T51" s="91">
        <v>79</v>
      </c>
      <c r="U51" s="91">
        <v>554</v>
      </c>
      <c r="V51" s="91">
        <v>2285</v>
      </c>
      <c r="W51" s="91">
        <v>3903</v>
      </c>
      <c r="X51" s="91">
        <v>573</v>
      </c>
      <c r="Y51" s="91">
        <v>2067</v>
      </c>
      <c r="Z51" s="91">
        <v>1232</v>
      </c>
      <c r="AA51" s="91">
        <v>1940</v>
      </c>
      <c r="AB51" s="91">
        <v>15.59</v>
      </c>
      <c r="AC51" s="91">
        <v>41.37</v>
      </c>
      <c r="AD51" s="91">
        <v>98</v>
      </c>
      <c r="AE51" s="91">
        <v>244</v>
      </c>
      <c r="AF51" s="69">
        <v>9</v>
      </c>
      <c r="AG51" s="91">
        <v>28</v>
      </c>
      <c r="AH51" s="91">
        <v>508.99</v>
      </c>
      <c r="AI51" s="91">
        <v>1175.24</v>
      </c>
      <c r="AJ51" s="91">
        <v>1352</v>
      </c>
      <c r="AK51" s="91">
        <v>5053</v>
      </c>
      <c r="AL51" s="91"/>
      <c r="AM51" s="91"/>
      <c r="AN51" s="91"/>
      <c r="AO51" s="91"/>
      <c r="AP51" s="91">
        <v>2</v>
      </c>
      <c r="AQ51" s="91">
        <v>10</v>
      </c>
      <c r="AR51" s="91">
        <v>84</v>
      </c>
      <c r="AS51" s="91">
        <v>315</v>
      </c>
      <c r="AT51" s="91">
        <v>142</v>
      </c>
      <c r="AU51" s="91">
        <v>463</v>
      </c>
      <c r="AV51" s="91">
        <v>259</v>
      </c>
      <c r="AW51" s="91">
        <v>510</v>
      </c>
      <c r="AX51" s="91">
        <v>0</v>
      </c>
      <c r="AY51" s="91">
        <v>0</v>
      </c>
      <c r="AZ51" s="91">
        <v>8744</v>
      </c>
      <c r="BA51" s="91">
        <v>18207</v>
      </c>
      <c r="BB51" s="91">
        <v>260</v>
      </c>
      <c r="BC51" s="91">
        <v>713</v>
      </c>
      <c r="BD51" s="91"/>
      <c r="BE51" s="91"/>
      <c r="BF51" s="91">
        <v>1406</v>
      </c>
      <c r="BG51" s="91">
        <v>3773</v>
      </c>
      <c r="BH51" s="91"/>
      <c r="BI51" s="91"/>
      <c r="BJ51" s="91">
        <v>69</v>
      </c>
      <c r="BK51" s="91">
        <v>356</v>
      </c>
      <c r="BL51" s="68">
        <f t="shared" si="8"/>
        <v>19453.61</v>
      </c>
      <c r="BM51" s="68">
        <f t="shared" si="9"/>
        <v>48595.92</v>
      </c>
    </row>
    <row r="52" spans="1:65" s="71" customFormat="1" x14ac:dyDescent="0.25">
      <c r="A52" s="24" t="s">
        <v>289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69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>
        <v>0</v>
      </c>
      <c r="BC52" s="91">
        <v>0</v>
      </c>
      <c r="BD52" s="91"/>
      <c r="BE52" s="91"/>
      <c r="BF52" s="91">
        <v>0</v>
      </c>
      <c r="BG52" s="91" t="s">
        <v>314</v>
      </c>
      <c r="BH52" s="91"/>
      <c r="BI52" s="91"/>
      <c r="BJ52" s="91"/>
      <c r="BK52" s="91"/>
      <c r="BL52" s="68">
        <f t="shared" si="8"/>
        <v>0</v>
      </c>
      <c r="BM52" s="68" t="e">
        <f t="shared" si="9"/>
        <v>#VALUE!</v>
      </c>
    </row>
    <row r="53" spans="1:65" s="7" customFormat="1" x14ac:dyDescent="0.25">
      <c r="A53" s="10" t="s">
        <v>290</v>
      </c>
      <c r="B53" s="10">
        <v>437</v>
      </c>
      <c r="C53" s="10">
        <v>1627</v>
      </c>
      <c r="D53" s="10">
        <v>5160</v>
      </c>
      <c r="E53" s="10">
        <v>6505</v>
      </c>
      <c r="F53" s="10"/>
      <c r="G53" s="10"/>
      <c r="H53" s="10">
        <v>5616</v>
      </c>
      <c r="I53" s="10">
        <v>18279</v>
      </c>
      <c r="J53" s="10">
        <v>12927</v>
      </c>
      <c r="K53" s="10">
        <v>42650</v>
      </c>
      <c r="L53" s="10">
        <v>1632</v>
      </c>
      <c r="M53" s="10">
        <v>5438</v>
      </c>
      <c r="N53" s="10"/>
      <c r="O53" s="10"/>
      <c r="P53" s="10">
        <v>82.23</v>
      </c>
      <c r="Q53" s="10">
        <v>663.88</v>
      </c>
      <c r="R53" s="10">
        <v>807.93</v>
      </c>
      <c r="S53" s="10">
        <v>2707.4</v>
      </c>
      <c r="T53" s="10">
        <v>400</v>
      </c>
      <c r="U53" s="10">
        <v>2945</v>
      </c>
      <c r="V53" s="10">
        <v>18729</v>
      </c>
      <c r="W53" s="10">
        <v>54093</v>
      </c>
      <c r="X53" s="10">
        <v>7987</v>
      </c>
      <c r="Y53" s="10">
        <v>27147</v>
      </c>
      <c r="Z53" s="10">
        <v>3038</v>
      </c>
      <c r="AA53" s="10">
        <v>9007</v>
      </c>
      <c r="AB53" s="10">
        <v>530.11</v>
      </c>
      <c r="AC53" s="10">
        <v>1541.44</v>
      </c>
      <c r="AD53" s="10">
        <v>772</v>
      </c>
      <c r="AE53" s="10">
        <v>2059</v>
      </c>
      <c r="AF53" s="10">
        <v>189</v>
      </c>
      <c r="AG53" s="10">
        <v>734</v>
      </c>
      <c r="AH53" s="10">
        <v>3457.11</v>
      </c>
      <c r="AI53" s="10">
        <v>10802.01</v>
      </c>
      <c r="AJ53" s="10">
        <v>10311</v>
      </c>
      <c r="AK53" s="10">
        <v>32818</v>
      </c>
      <c r="AL53" s="10">
        <v>9087</v>
      </c>
      <c r="AM53" s="10">
        <v>37146</v>
      </c>
      <c r="AN53" s="10">
        <v>149</v>
      </c>
      <c r="AO53" s="10">
        <v>310</v>
      </c>
      <c r="AP53" s="10">
        <v>12</v>
      </c>
      <c r="AQ53" s="10">
        <v>49</v>
      </c>
      <c r="AR53" s="10">
        <v>1774</v>
      </c>
      <c r="AS53" s="10">
        <v>6598</v>
      </c>
      <c r="AT53" s="10">
        <v>1123</v>
      </c>
      <c r="AU53" s="10">
        <v>4167</v>
      </c>
      <c r="AV53" s="10">
        <v>5465</v>
      </c>
      <c r="AW53" s="10">
        <v>14906</v>
      </c>
      <c r="AX53" s="10">
        <v>3</v>
      </c>
      <c r="AY53" s="10">
        <v>120</v>
      </c>
      <c r="AZ53" s="10">
        <v>55726</v>
      </c>
      <c r="BA53" s="10">
        <v>158943</v>
      </c>
      <c r="BB53" s="10">
        <v>5123</v>
      </c>
      <c r="BC53" s="10">
        <v>15721</v>
      </c>
      <c r="BD53" s="10">
        <v>23847</v>
      </c>
      <c r="BE53" s="10">
        <v>78951</v>
      </c>
      <c r="BF53" s="10">
        <v>10969</v>
      </c>
      <c r="BG53" s="10">
        <v>38801</v>
      </c>
      <c r="BH53" s="10">
        <v>7563</v>
      </c>
      <c r="BI53" s="10">
        <v>28045</v>
      </c>
      <c r="BJ53" s="10">
        <v>655</v>
      </c>
      <c r="BK53" s="10">
        <v>3399</v>
      </c>
      <c r="BL53" s="63">
        <f t="shared" si="8"/>
        <v>193571.38</v>
      </c>
      <c r="BM53" s="63">
        <f t="shared" si="9"/>
        <v>606172.73</v>
      </c>
    </row>
    <row r="54" spans="1:65" x14ac:dyDescent="0.25">
      <c r="A54" s="24" t="s">
        <v>291</v>
      </c>
      <c r="B54" s="91"/>
      <c r="C54" s="91"/>
      <c r="D54" s="91"/>
      <c r="E54" s="91"/>
      <c r="F54" s="9"/>
      <c r="G54" s="9"/>
      <c r="H54" s="91"/>
      <c r="I54" s="91"/>
      <c r="J54" s="91">
        <v>23</v>
      </c>
      <c r="K54" s="91">
        <v>-348</v>
      </c>
      <c r="L54" s="91"/>
      <c r="M54" s="91"/>
      <c r="N54" s="76"/>
      <c r="O54" s="76"/>
      <c r="P54" s="91">
        <v>1.1200000000000001</v>
      </c>
      <c r="Q54" s="91">
        <v>28.19</v>
      </c>
      <c r="R54" s="91"/>
      <c r="S54" s="91"/>
      <c r="T54" s="91">
        <v>13</v>
      </c>
      <c r="U54" s="91">
        <v>0</v>
      </c>
      <c r="V54" s="91"/>
      <c r="W54" s="91"/>
      <c r="X54" s="91">
        <v>1516</v>
      </c>
      <c r="Y54" s="91">
        <v>2991</v>
      </c>
      <c r="Z54" s="91">
        <v>145</v>
      </c>
      <c r="AA54" s="91">
        <v>215</v>
      </c>
      <c r="AB54" s="91"/>
      <c r="AC54" s="91"/>
      <c r="AD54" s="91"/>
      <c r="AE54" s="91"/>
      <c r="AF54" s="69"/>
      <c r="AG54" s="91"/>
      <c r="AH54" s="91"/>
      <c r="AI54" s="91"/>
      <c r="AJ54" s="91"/>
      <c r="AK54" s="91"/>
      <c r="AL54" s="91">
        <v>1057</v>
      </c>
      <c r="AM54" s="91">
        <v>1705</v>
      </c>
      <c r="AN54" s="91"/>
      <c r="AO54" s="91"/>
      <c r="AP54" s="91"/>
      <c r="AQ54" s="91"/>
      <c r="AR54" s="76"/>
      <c r="AS54" s="76"/>
      <c r="AT54" s="91"/>
      <c r="AU54" s="91"/>
      <c r="AV54" s="91">
        <v>186</v>
      </c>
      <c r="AW54" s="91">
        <v>253</v>
      </c>
      <c r="AX54" s="91"/>
      <c r="AY54" s="91"/>
      <c r="AZ54" s="91"/>
      <c r="BA54" s="91"/>
      <c r="BB54" s="91">
        <v>58</v>
      </c>
      <c r="BC54" s="91">
        <v>58</v>
      </c>
      <c r="BD54" s="91">
        <v>579</v>
      </c>
      <c r="BE54" s="91">
        <v>2022</v>
      </c>
      <c r="BF54" s="91">
        <v>479</v>
      </c>
      <c r="BG54" s="91">
        <v>958</v>
      </c>
      <c r="BH54" s="91"/>
      <c r="BI54" s="91"/>
      <c r="BJ54" s="91">
        <v>120</v>
      </c>
      <c r="BK54" s="91">
        <v>120</v>
      </c>
      <c r="BL54" s="68">
        <f t="shared" si="8"/>
        <v>4177.12</v>
      </c>
      <c r="BM54" s="68">
        <f t="shared" si="9"/>
        <v>8002.1900000000005</v>
      </c>
    </row>
    <row r="55" spans="1:65" x14ac:dyDescent="0.25">
      <c r="A55" s="24" t="s">
        <v>292</v>
      </c>
      <c r="B55" s="91">
        <v>56</v>
      </c>
      <c r="C55" s="91">
        <v>187</v>
      </c>
      <c r="D55" s="91">
        <v>6556</v>
      </c>
      <c r="E55" s="91">
        <v>6583</v>
      </c>
      <c r="F55" s="9"/>
      <c r="G55" s="9"/>
      <c r="H55" s="91">
        <v>-4497</v>
      </c>
      <c r="I55" s="91">
        <v>-15578</v>
      </c>
      <c r="J55" s="91">
        <v>10541</v>
      </c>
      <c r="K55" s="91">
        <v>36752</v>
      </c>
      <c r="L55" s="91">
        <v>448</v>
      </c>
      <c r="M55" s="91">
        <v>273</v>
      </c>
      <c r="N55" s="76"/>
      <c r="O55" s="76"/>
      <c r="P55" s="91">
        <v>153.57</v>
      </c>
      <c r="Q55" s="91">
        <v>1032.95</v>
      </c>
      <c r="R55" s="91">
        <v>1047.93</v>
      </c>
      <c r="S55" s="91">
        <v>3312.6</v>
      </c>
      <c r="T55" s="91">
        <v>-40</v>
      </c>
      <c r="U55" s="91">
        <v>-224</v>
      </c>
      <c r="V55" s="91">
        <v>-14755</v>
      </c>
      <c r="W55" s="91">
        <v>-51923</v>
      </c>
      <c r="X55" s="91">
        <v>7825</v>
      </c>
      <c r="Y55" s="91">
        <v>24193</v>
      </c>
      <c r="Z55" s="91">
        <v>386</v>
      </c>
      <c r="AA55" s="91">
        <v>1338</v>
      </c>
      <c r="AB55" s="91">
        <v>264.93</v>
      </c>
      <c r="AC55" s="91">
        <v>965.69</v>
      </c>
      <c r="AD55" s="91">
        <v>54</v>
      </c>
      <c r="AE55" s="91">
        <v>138</v>
      </c>
      <c r="AF55" s="69">
        <v>-86</v>
      </c>
      <c r="AG55" s="91">
        <v>-298</v>
      </c>
      <c r="AH55" s="91">
        <v>325.29000000000002</v>
      </c>
      <c r="AI55" s="91">
        <v>892.22</v>
      </c>
      <c r="AJ55" s="91">
        <v>3401</v>
      </c>
      <c r="AK55" s="91">
        <v>21278</v>
      </c>
      <c r="AL55" s="91">
        <v>7283</v>
      </c>
      <c r="AM55" s="91">
        <v>10021</v>
      </c>
      <c r="AN55" s="91">
        <v>-117</v>
      </c>
      <c r="AO55" s="91">
        <v>-116</v>
      </c>
      <c r="AP55" s="91">
        <v>1</v>
      </c>
      <c r="AQ55" s="91">
        <v>3</v>
      </c>
      <c r="AR55" s="76">
        <v>1622</v>
      </c>
      <c r="AS55" s="76">
        <v>4601</v>
      </c>
      <c r="AT55" s="91">
        <v>369</v>
      </c>
      <c r="AU55" s="91">
        <v>1034</v>
      </c>
      <c r="AV55" s="91">
        <v>508</v>
      </c>
      <c r="AW55" s="91">
        <v>1384</v>
      </c>
      <c r="AX55" s="91">
        <v>0</v>
      </c>
      <c r="AY55" s="91">
        <v>7</v>
      </c>
      <c r="AZ55" s="91">
        <v>5481</v>
      </c>
      <c r="BA55" s="91">
        <v>11178</v>
      </c>
      <c r="BB55" s="91">
        <v>3886</v>
      </c>
      <c r="BC55" s="91">
        <v>9298</v>
      </c>
      <c r="BD55" s="91">
        <v>271</v>
      </c>
      <c r="BE55" s="91">
        <v>11220</v>
      </c>
      <c r="BF55" s="91">
        <v>1213</v>
      </c>
      <c r="BG55" s="91">
        <v>3150</v>
      </c>
      <c r="BH55" s="91">
        <v>1143</v>
      </c>
      <c r="BI55" s="91">
        <v>3584</v>
      </c>
      <c r="BJ55" s="91">
        <v>42</v>
      </c>
      <c r="BK55" s="91">
        <v>199</v>
      </c>
      <c r="BL55" s="68">
        <f t="shared" si="8"/>
        <v>33382.720000000001</v>
      </c>
      <c r="BM55" s="68">
        <f t="shared" si="9"/>
        <v>84485.459999999992</v>
      </c>
    </row>
    <row r="56" spans="1:65" s="7" customFormat="1" x14ac:dyDescent="0.25">
      <c r="A56" s="10" t="s">
        <v>190</v>
      </c>
      <c r="B56" s="10">
        <v>381</v>
      </c>
      <c r="C56" s="10">
        <v>1440</v>
      </c>
      <c r="D56" s="10">
        <v>-1395</v>
      </c>
      <c r="E56" s="10">
        <v>-77</v>
      </c>
      <c r="F56" s="10"/>
      <c r="G56" s="10"/>
      <c r="H56" s="10">
        <v>1118</v>
      </c>
      <c r="I56" s="10">
        <v>2702</v>
      </c>
      <c r="J56" s="10">
        <v>2409</v>
      </c>
      <c r="K56" s="10">
        <v>5550</v>
      </c>
      <c r="L56" s="10">
        <v>1183</v>
      </c>
      <c r="M56" s="10">
        <v>5165</v>
      </c>
      <c r="N56" s="10"/>
      <c r="O56" s="10"/>
      <c r="P56" s="10">
        <v>-70.22</v>
      </c>
      <c r="Q56" s="10">
        <v>-340.88</v>
      </c>
      <c r="R56" s="10">
        <v>-240</v>
      </c>
      <c r="S56" s="10">
        <v>-605.20000000000005</v>
      </c>
      <c r="T56" s="10">
        <v>373</v>
      </c>
      <c r="U56" s="10">
        <v>2721</v>
      </c>
      <c r="V56" s="10">
        <v>3974</v>
      </c>
      <c r="W56" s="10">
        <v>2171</v>
      </c>
      <c r="X56" s="10">
        <v>1678</v>
      </c>
      <c r="Y56" s="10">
        <v>5945</v>
      </c>
      <c r="Z56" s="10">
        <v>2797</v>
      </c>
      <c r="AA56" s="10">
        <v>7884</v>
      </c>
      <c r="AB56" s="10">
        <v>265.18</v>
      </c>
      <c r="AC56" s="10">
        <v>575.75</v>
      </c>
      <c r="AD56" s="10">
        <v>718</v>
      </c>
      <c r="AE56" s="10">
        <v>1921</v>
      </c>
      <c r="AF56" s="10">
        <v>103</v>
      </c>
      <c r="AG56" s="10">
        <v>437</v>
      </c>
      <c r="AH56" s="10">
        <v>3131.83</v>
      </c>
      <c r="AI56" s="10">
        <v>9909.7800000000007</v>
      </c>
      <c r="AJ56" s="10">
        <v>6910</v>
      </c>
      <c r="AK56" s="10">
        <v>11540</v>
      </c>
      <c r="AL56" s="10">
        <v>2861</v>
      </c>
      <c r="AM56" s="10">
        <v>28830</v>
      </c>
      <c r="AN56" s="10">
        <v>32</v>
      </c>
      <c r="AO56" s="10">
        <v>195</v>
      </c>
      <c r="AP56" s="10">
        <v>12</v>
      </c>
      <c r="AQ56" s="10">
        <v>47</v>
      </c>
      <c r="AR56" s="10">
        <v>152</v>
      </c>
      <c r="AS56" s="10">
        <v>1998</v>
      </c>
      <c r="AT56" s="10">
        <v>754</v>
      </c>
      <c r="AU56" s="10">
        <v>3133</v>
      </c>
      <c r="AV56" s="10">
        <v>5143</v>
      </c>
      <c r="AW56" s="10">
        <v>13775</v>
      </c>
      <c r="AX56" s="10">
        <v>2</v>
      </c>
      <c r="AY56" s="10">
        <v>113</v>
      </c>
      <c r="AZ56" s="10">
        <v>50245</v>
      </c>
      <c r="BA56" s="10">
        <v>147765</v>
      </c>
      <c r="BB56" s="10">
        <v>1296</v>
      </c>
      <c r="BC56" s="10">
        <v>6481</v>
      </c>
      <c r="BD56" s="10">
        <v>24154</v>
      </c>
      <c r="BE56" s="10">
        <v>69754</v>
      </c>
      <c r="BF56" s="10">
        <v>10235</v>
      </c>
      <c r="BG56" s="10">
        <v>36610</v>
      </c>
      <c r="BH56" s="10">
        <v>6420</v>
      </c>
      <c r="BI56" s="10">
        <v>24461</v>
      </c>
      <c r="BJ56" s="10">
        <v>733</v>
      </c>
      <c r="BK56" s="10">
        <v>3320</v>
      </c>
      <c r="BL56" s="63">
        <f t="shared" si="8"/>
        <v>125374.79000000001</v>
      </c>
      <c r="BM56" s="63">
        <f t="shared" si="9"/>
        <v>393420.45</v>
      </c>
    </row>
    <row r="57" spans="1:65" x14ac:dyDescent="0.25">
      <c r="A57" s="22"/>
      <c r="S57" s="71"/>
    </row>
    <row r="58" spans="1:65" x14ac:dyDescent="0.25">
      <c r="A58" s="23" t="s">
        <v>187</v>
      </c>
    </row>
    <row r="59" spans="1:65" x14ac:dyDescent="0.25">
      <c r="A59" s="3" t="s">
        <v>0</v>
      </c>
      <c r="B59" s="154" t="s">
        <v>1</v>
      </c>
      <c r="C59" s="155"/>
      <c r="D59" s="154" t="s">
        <v>234</v>
      </c>
      <c r="E59" s="155"/>
      <c r="F59" s="154" t="s">
        <v>2</v>
      </c>
      <c r="G59" s="155"/>
      <c r="H59" s="154" t="s">
        <v>3</v>
      </c>
      <c r="I59" s="155"/>
      <c r="J59" s="154" t="s">
        <v>243</v>
      </c>
      <c r="K59" s="155"/>
      <c r="L59" s="154" t="s">
        <v>235</v>
      </c>
      <c r="M59" s="155"/>
      <c r="N59" s="154" t="s">
        <v>5</v>
      </c>
      <c r="O59" s="155"/>
      <c r="P59" s="154" t="s">
        <v>4</v>
      </c>
      <c r="Q59" s="155"/>
      <c r="R59" s="154" t="s">
        <v>6</v>
      </c>
      <c r="S59" s="155"/>
      <c r="T59" s="154" t="s">
        <v>246</v>
      </c>
      <c r="U59" s="155"/>
      <c r="V59" s="154" t="s">
        <v>7</v>
      </c>
      <c r="W59" s="155"/>
      <c r="X59" s="154" t="s">
        <v>8</v>
      </c>
      <c r="Y59" s="155"/>
      <c r="Z59" s="154" t="s">
        <v>9</v>
      </c>
      <c r="AA59" s="155"/>
      <c r="AB59" s="154" t="s">
        <v>242</v>
      </c>
      <c r="AC59" s="155"/>
      <c r="AD59" s="154" t="s">
        <v>10</v>
      </c>
      <c r="AE59" s="155"/>
      <c r="AF59" s="154" t="s">
        <v>11</v>
      </c>
      <c r="AG59" s="155"/>
      <c r="AH59" s="154" t="s">
        <v>236</v>
      </c>
      <c r="AI59" s="155"/>
      <c r="AJ59" s="154" t="s">
        <v>245</v>
      </c>
      <c r="AK59" s="155"/>
      <c r="AL59" s="154" t="s">
        <v>12</v>
      </c>
      <c r="AM59" s="155"/>
      <c r="AN59" s="154" t="s">
        <v>237</v>
      </c>
      <c r="AO59" s="155"/>
      <c r="AP59" s="154" t="s">
        <v>238</v>
      </c>
      <c r="AQ59" s="155"/>
      <c r="AR59" s="154" t="s">
        <v>241</v>
      </c>
      <c r="AS59" s="155"/>
      <c r="AT59" s="154" t="s">
        <v>13</v>
      </c>
      <c r="AU59" s="155"/>
      <c r="AV59" s="154" t="s">
        <v>14</v>
      </c>
      <c r="AW59" s="155"/>
      <c r="AX59" s="154" t="s">
        <v>15</v>
      </c>
      <c r="AY59" s="155"/>
      <c r="AZ59" s="154" t="s">
        <v>16</v>
      </c>
      <c r="BA59" s="155"/>
      <c r="BB59" s="154" t="s">
        <v>17</v>
      </c>
      <c r="BC59" s="155"/>
      <c r="BD59" s="154" t="s">
        <v>239</v>
      </c>
      <c r="BE59" s="155"/>
      <c r="BF59" s="154" t="s">
        <v>240</v>
      </c>
      <c r="BG59" s="155"/>
      <c r="BH59" s="154" t="s">
        <v>18</v>
      </c>
      <c r="BI59" s="155"/>
      <c r="BJ59" s="154" t="s">
        <v>19</v>
      </c>
      <c r="BK59" s="155"/>
      <c r="BL59" s="156" t="s">
        <v>20</v>
      </c>
      <c r="BM59" s="157"/>
    </row>
    <row r="60" spans="1:65" ht="30" x14ac:dyDescent="0.25">
      <c r="A60" s="3"/>
      <c r="B60" s="53" t="s">
        <v>300</v>
      </c>
      <c r="C60" s="54" t="s">
        <v>301</v>
      </c>
      <c r="D60" s="53" t="s">
        <v>300</v>
      </c>
      <c r="E60" s="54" t="s">
        <v>301</v>
      </c>
      <c r="F60" s="53" t="s">
        <v>300</v>
      </c>
      <c r="G60" s="54" t="s">
        <v>301</v>
      </c>
      <c r="H60" s="53" t="s">
        <v>300</v>
      </c>
      <c r="I60" s="54" t="s">
        <v>301</v>
      </c>
      <c r="J60" s="53" t="s">
        <v>300</v>
      </c>
      <c r="K60" s="54" t="s">
        <v>301</v>
      </c>
      <c r="L60" s="53" t="s">
        <v>300</v>
      </c>
      <c r="M60" s="54" t="s">
        <v>301</v>
      </c>
      <c r="N60" s="53" t="s">
        <v>300</v>
      </c>
      <c r="O60" s="54" t="s">
        <v>301</v>
      </c>
      <c r="P60" s="53" t="s">
        <v>300</v>
      </c>
      <c r="Q60" s="54" t="s">
        <v>301</v>
      </c>
      <c r="R60" s="53" t="s">
        <v>300</v>
      </c>
      <c r="S60" s="54" t="s">
        <v>301</v>
      </c>
      <c r="T60" s="53" t="s">
        <v>300</v>
      </c>
      <c r="U60" s="54" t="s">
        <v>301</v>
      </c>
      <c r="V60" s="53" t="s">
        <v>300</v>
      </c>
      <c r="W60" s="54" t="s">
        <v>301</v>
      </c>
      <c r="X60" s="53" t="s">
        <v>300</v>
      </c>
      <c r="Y60" s="54" t="s">
        <v>301</v>
      </c>
      <c r="Z60" s="53" t="s">
        <v>300</v>
      </c>
      <c r="AA60" s="54" t="s">
        <v>301</v>
      </c>
      <c r="AB60" s="53" t="s">
        <v>300</v>
      </c>
      <c r="AC60" s="54" t="s">
        <v>301</v>
      </c>
      <c r="AD60" s="53" t="s">
        <v>300</v>
      </c>
      <c r="AE60" s="54" t="s">
        <v>301</v>
      </c>
      <c r="AF60" s="53" t="s">
        <v>300</v>
      </c>
      <c r="AG60" s="54" t="s">
        <v>301</v>
      </c>
      <c r="AH60" s="53" t="s">
        <v>300</v>
      </c>
      <c r="AI60" s="54" t="s">
        <v>301</v>
      </c>
      <c r="AJ60" s="53" t="s">
        <v>300</v>
      </c>
      <c r="AK60" s="54" t="s">
        <v>301</v>
      </c>
      <c r="AL60" s="53" t="s">
        <v>300</v>
      </c>
      <c r="AM60" s="54" t="s">
        <v>301</v>
      </c>
      <c r="AN60" s="53" t="s">
        <v>300</v>
      </c>
      <c r="AO60" s="54" t="s">
        <v>301</v>
      </c>
      <c r="AP60" s="53" t="s">
        <v>300</v>
      </c>
      <c r="AQ60" s="54" t="s">
        <v>301</v>
      </c>
      <c r="AR60" s="53" t="s">
        <v>300</v>
      </c>
      <c r="AS60" s="54" t="s">
        <v>301</v>
      </c>
      <c r="AT60" s="53" t="s">
        <v>300</v>
      </c>
      <c r="AU60" s="54" t="s">
        <v>301</v>
      </c>
      <c r="AV60" s="53" t="s">
        <v>300</v>
      </c>
      <c r="AW60" s="54" t="s">
        <v>301</v>
      </c>
      <c r="AX60" s="53" t="s">
        <v>300</v>
      </c>
      <c r="AY60" s="54" t="s">
        <v>301</v>
      </c>
      <c r="AZ60" s="53" t="s">
        <v>300</v>
      </c>
      <c r="BA60" s="54" t="s">
        <v>301</v>
      </c>
      <c r="BB60" s="53" t="s">
        <v>300</v>
      </c>
      <c r="BC60" s="54" t="s">
        <v>301</v>
      </c>
      <c r="BD60" s="53" t="s">
        <v>300</v>
      </c>
      <c r="BE60" s="54" t="s">
        <v>301</v>
      </c>
      <c r="BF60" s="53" t="s">
        <v>300</v>
      </c>
      <c r="BG60" s="54" t="s">
        <v>301</v>
      </c>
      <c r="BH60" s="53" t="s">
        <v>300</v>
      </c>
      <c r="BI60" s="54" t="s">
        <v>301</v>
      </c>
      <c r="BJ60" s="53" t="s">
        <v>300</v>
      </c>
      <c r="BK60" s="54" t="s">
        <v>301</v>
      </c>
      <c r="BL60" s="104" t="s">
        <v>300</v>
      </c>
      <c r="BM60" s="105" t="s">
        <v>301</v>
      </c>
    </row>
    <row r="61" spans="1:65" x14ac:dyDescent="0.25">
      <c r="A61" s="24" t="s">
        <v>287</v>
      </c>
      <c r="B61" s="91">
        <v>8</v>
      </c>
      <c r="C61" s="91">
        <v>28</v>
      </c>
      <c r="D61" s="91">
        <v>1184</v>
      </c>
      <c r="E61" s="91">
        <v>2504</v>
      </c>
      <c r="F61" s="9"/>
      <c r="G61" s="9"/>
      <c r="H61" s="91">
        <v>605</v>
      </c>
      <c r="I61" s="91">
        <v>2098</v>
      </c>
      <c r="J61" s="91">
        <v>1788</v>
      </c>
      <c r="K61" s="91">
        <v>5070</v>
      </c>
      <c r="L61" s="91">
        <v>1832</v>
      </c>
      <c r="M61" s="91">
        <v>6559</v>
      </c>
      <c r="N61" s="76"/>
      <c r="O61" s="76"/>
      <c r="P61" s="91">
        <v>20.07</v>
      </c>
      <c r="Q61" s="91">
        <v>20.07</v>
      </c>
      <c r="R61" s="91">
        <v>382.23</v>
      </c>
      <c r="S61" s="91">
        <v>1081.07</v>
      </c>
      <c r="T61" s="91">
        <v>177</v>
      </c>
      <c r="U61" s="91">
        <v>1084</v>
      </c>
      <c r="V61" s="91">
        <v>2220</v>
      </c>
      <c r="W61" s="91">
        <v>8050</v>
      </c>
      <c r="X61" s="91">
        <v>875</v>
      </c>
      <c r="Y61" s="91">
        <v>2786</v>
      </c>
      <c r="Z61" s="91">
        <v>244</v>
      </c>
      <c r="AA61" s="91">
        <v>960</v>
      </c>
      <c r="AB61" s="91">
        <v>10.33</v>
      </c>
      <c r="AC61" s="91">
        <v>48.46</v>
      </c>
      <c r="AD61" s="91">
        <v>30</v>
      </c>
      <c r="AE61" s="91">
        <v>162</v>
      </c>
      <c r="AF61" s="69">
        <v>7</v>
      </c>
      <c r="AG61" s="91">
        <v>35</v>
      </c>
      <c r="AH61" s="91">
        <v>50.75</v>
      </c>
      <c r="AI61" s="91">
        <v>167.47</v>
      </c>
      <c r="AJ61" s="91">
        <v>291</v>
      </c>
      <c r="AK61" s="91">
        <v>829</v>
      </c>
      <c r="AL61" s="76"/>
      <c r="AM61" s="76"/>
      <c r="AN61" s="91">
        <v>26</v>
      </c>
      <c r="AO61" s="91">
        <v>67</v>
      </c>
      <c r="AP61" s="91">
        <v>1</v>
      </c>
      <c r="AQ61" s="91">
        <v>2</v>
      </c>
      <c r="AR61" s="76">
        <v>349</v>
      </c>
      <c r="AS61" s="76">
        <v>843</v>
      </c>
      <c r="AT61" s="91">
        <v>115</v>
      </c>
      <c r="AU61" s="91">
        <v>454</v>
      </c>
      <c r="AV61" s="91">
        <v>2721</v>
      </c>
      <c r="AW61" s="91">
        <v>8828</v>
      </c>
      <c r="AX61" s="91">
        <v>63</v>
      </c>
      <c r="AY61" s="91">
        <v>230</v>
      </c>
      <c r="AZ61" s="91">
        <v>805</v>
      </c>
      <c r="BA61" s="91">
        <v>2222</v>
      </c>
      <c r="BB61" s="91">
        <v>836</v>
      </c>
      <c r="BC61" s="91">
        <v>1590</v>
      </c>
      <c r="BD61" s="76"/>
      <c r="BE61" s="76"/>
      <c r="BF61" s="91">
        <v>433</v>
      </c>
      <c r="BG61" s="91">
        <v>1610</v>
      </c>
      <c r="BH61" s="9"/>
      <c r="BI61" s="9"/>
      <c r="BJ61" s="91">
        <v>342</v>
      </c>
      <c r="BK61" s="91">
        <v>2753</v>
      </c>
      <c r="BL61" s="68">
        <f t="shared" ref="BL61:BL67" si="10">SUM(B61+D61+F61+H61+J61+L61+N61+P61+R61+T61+V61+X61+Z61+AB61+AD61+AF61+AH61+AJ61+AL61+AN61+AP61+AR61+AT61+AV61+AX61+AZ61+BB61+BD61+BF61+BH61+BJ61)</f>
        <v>15415.38</v>
      </c>
      <c r="BM61" s="68">
        <f t="shared" ref="BM61:BM67" si="11">SUM(C61+E61+G61+I61+K61+M61+O61+Q61+S61+U61+W61+Y61+AA61+AC61+AE61+AG61+AI61+AK61+AM61+AO61+AQ61+AS61+AU61+AW61+AY61+BA61+BC61+BE61+BG61+BI61+BK61)</f>
        <v>50081.07</v>
      </c>
    </row>
    <row r="62" spans="1:65" s="71" customFormat="1" x14ac:dyDescent="0.25">
      <c r="A62" s="24" t="s">
        <v>288</v>
      </c>
      <c r="B62" s="91">
        <v>1</v>
      </c>
      <c r="C62" s="91">
        <v>2</v>
      </c>
      <c r="D62" s="91">
        <v>156</v>
      </c>
      <c r="E62" s="91">
        <v>232</v>
      </c>
      <c r="F62" s="91"/>
      <c r="G62" s="91"/>
      <c r="H62" s="91">
        <v>50</v>
      </c>
      <c r="I62" s="91">
        <v>122</v>
      </c>
      <c r="J62" s="91">
        <v>61</v>
      </c>
      <c r="K62" s="91">
        <v>166</v>
      </c>
      <c r="L62" s="91">
        <v>97</v>
      </c>
      <c r="M62" s="91">
        <v>388</v>
      </c>
      <c r="N62" s="91"/>
      <c r="O62" s="91"/>
      <c r="P62" s="91">
        <v>0.04</v>
      </c>
      <c r="Q62" s="91">
        <v>0.04</v>
      </c>
      <c r="R62" s="91">
        <v>9.09</v>
      </c>
      <c r="S62" s="91">
        <v>9.23</v>
      </c>
      <c r="T62" s="91">
        <v>100</v>
      </c>
      <c r="U62" s="91">
        <v>129</v>
      </c>
      <c r="V62" s="91">
        <v>172</v>
      </c>
      <c r="W62" s="91">
        <v>292</v>
      </c>
      <c r="X62" s="91">
        <v>45</v>
      </c>
      <c r="Y62" s="91">
        <v>148</v>
      </c>
      <c r="Z62" s="91">
        <v>44</v>
      </c>
      <c r="AA62" s="91">
        <v>231</v>
      </c>
      <c r="AB62" s="91">
        <v>3.06</v>
      </c>
      <c r="AC62" s="91">
        <v>13.47</v>
      </c>
      <c r="AD62" s="91">
        <v>7</v>
      </c>
      <c r="AE62" s="91">
        <v>19</v>
      </c>
      <c r="AF62" s="69">
        <v>2</v>
      </c>
      <c r="AG62" s="91">
        <v>8</v>
      </c>
      <c r="AH62" s="91">
        <v>7.96</v>
      </c>
      <c r="AI62" s="91">
        <v>15</v>
      </c>
      <c r="AJ62" s="91"/>
      <c r="AK62" s="91"/>
      <c r="AL62" s="91"/>
      <c r="AM62" s="91"/>
      <c r="AN62" s="91"/>
      <c r="AO62" s="91"/>
      <c r="AP62" s="91">
        <v>0</v>
      </c>
      <c r="AQ62" s="91">
        <v>0</v>
      </c>
      <c r="AR62" s="91">
        <v>18</v>
      </c>
      <c r="AS62" s="91">
        <v>41</v>
      </c>
      <c r="AT62" s="91">
        <v>20</v>
      </c>
      <c r="AU62" s="91">
        <v>64</v>
      </c>
      <c r="AV62" s="91">
        <v>4</v>
      </c>
      <c r="AW62" s="91">
        <v>18</v>
      </c>
      <c r="AX62" s="91">
        <v>2</v>
      </c>
      <c r="AY62" s="91">
        <v>14</v>
      </c>
      <c r="AZ62" s="91">
        <v>117</v>
      </c>
      <c r="BA62" s="91">
        <v>248</v>
      </c>
      <c r="BB62" s="91">
        <v>48</v>
      </c>
      <c r="BC62" s="91">
        <v>131</v>
      </c>
      <c r="BD62" s="91"/>
      <c r="BE62" s="91"/>
      <c r="BF62" s="91">
        <v>31</v>
      </c>
      <c r="BG62" s="91">
        <v>130</v>
      </c>
      <c r="BH62" s="91"/>
      <c r="BI62" s="91"/>
      <c r="BJ62" s="91">
        <v>0</v>
      </c>
      <c r="BK62" s="91">
        <v>0</v>
      </c>
      <c r="BL62" s="68">
        <f t="shared" si="10"/>
        <v>995.15</v>
      </c>
      <c r="BM62" s="68">
        <f t="shared" si="11"/>
        <v>2420.7399999999998</v>
      </c>
    </row>
    <row r="63" spans="1:65" s="71" customFormat="1" x14ac:dyDescent="0.25">
      <c r="A63" s="24" t="s">
        <v>289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69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>
        <v>0</v>
      </c>
      <c r="BG63" s="91" t="s">
        <v>314</v>
      </c>
      <c r="BH63" s="91"/>
      <c r="BI63" s="91"/>
      <c r="BJ63" s="91"/>
      <c r="BK63" s="91"/>
      <c r="BL63" s="68">
        <f t="shared" si="10"/>
        <v>0</v>
      </c>
      <c r="BM63" s="68" t="e">
        <f t="shared" si="11"/>
        <v>#VALUE!</v>
      </c>
    </row>
    <row r="64" spans="1:65" s="7" customFormat="1" x14ac:dyDescent="0.25">
      <c r="A64" s="10" t="s">
        <v>290</v>
      </c>
      <c r="B64" s="10">
        <v>9</v>
      </c>
      <c r="C64" s="10">
        <v>30</v>
      </c>
      <c r="D64" s="10">
        <v>1340</v>
      </c>
      <c r="E64" s="10">
        <v>2736</v>
      </c>
      <c r="F64" s="10"/>
      <c r="G64" s="10"/>
      <c r="H64" s="10">
        <v>655</v>
      </c>
      <c r="I64" s="10">
        <v>2220</v>
      </c>
      <c r="J64" s="10">
        <v>1849</v>
      </c>
      <c r="K64" s="10">
        <v>5236</v>
      </c>
      <c r="L64" s="10">
        <v>1929</v>
      </c>
      <c r="M64" s="10">
        <v>6946</v>
      </c>
      <c r="N64" s="10"/>
      <c r="O64" s="10"/>
      <c r="P64" s="10">
        <v>20.11</v>
      </c>
      <c r="Q64" s="10">
        <v>20.11</v>
      </c>
      <c r="R64" s="10">
        <v>391.31</v>
      </c>
      <c r="S64" s="10">
        <v>1090.31</v>
      </c>
      <c r="T64" s="10">
        <v>278</v>
      </c>
      <c r="U64" s="10">
        <v>1213</v>
      </c>
      <c r="V64" s="10">
        <v>2392</v>
      </c>
      <c r="W64" s="10">
        <v>8342</v>
      </c>
      <c r="X64" s="10">
        <v>920</v>
      </c>
      <c r="Y64" s="10">
        <v>2934</v>
      </c>
      <c r="Z64" s="10">
        <v>288</v>
      </c>
      <c r="AA64" s="10">
        <v>1191</v>
      </c>
      <c r="AB64" s="10">
        <v>13.39</v>
      </c>
      <c r="AC64" s="10">
        <v>61.93</v>
      </c>
      <c r="AD64" s="10">
        <v>37</v>
      </c>
      <c r="AE64" s="10">
        <v>181</v>
      </c>
      <c r="AF64" s="10">
        <v>9</v>
      </c>
      <c r="AG64" s="10">
        <v>43</v>
      </c>
      <c r="AH64" s="10">
        <v>58.71</v>
      </c>
      <c r="AI64" s="10">
        <v>182.47</v>
      </c>
      <c r="AJ64" s="10">
        <v>291</v>
      </c>
      <c r="AK64" s="10">
        <v>829</v>
      </c>
      <c r="AL64" s="10">
        <v>219</v>
      </c>
      <c r="AM64" s="10">
        <v>828</v>
      </c>
      <c r="AN64" s="10">
        <v>26</v>
      </c>
      <c r="AO64" s="10">
        <v>67</v>
      </c>
      <c r="AP64" s="10">
        <v>1</v>
      </c>
      <c r="AQ64" s="10">
        <v>2</v>
      </c>
      <c r="AR64" s="10">
        <v>367</v>
      </c>
      <c r="AS64" s="10">
        <v>884</v>
      </c>
      <c r="AT64" s="10">
        <v>135</v>
      </c>
      <c r="AU64" s="10">
        <v>517</v>
      </c>
      <c r="AV64" s="10">
        <v>2725</v>
      </c>
      <c r="AW64" s="10">
        <v>8846</v>
      </c>
      <c r="AX64" s="10">
        <v>66</v>
      </c>
      <c r="AY64" s="10">
        <v>245</v>
      </c>
      <c r="AZ64" s="10">
        <v>923</v>
      </c>
      <c r="BA64" s="10">
        <v>2470</v>
      </c>
      <c r="BB64" s="10">
        <v>884</v>
      </c>
      <c r="BC64" s="10">
        <v>1721</v>
      </c>
      <c r="BD64" s="10">
        <v>981</v>
      </c>
      <c r="BE64" s="10">
        <v>4400</v>
      </c>
      <c r="BF64" s="10">
        <v>465</v>
      </c>
      <c r="BG64" s="10">
        <v>1741</v>
      </c>
      <c r="BH64" s="10">
        <v>626</v>
      </c>
      <c r="BI64" s="10">
        <v>2166</v>
      </c>
      <c r="BJ64" s="10">
        <v>342</v>
      </c>
      <c r="BK64" s="10">
        <v>2753</v>
      </c>
      <c r="BL64" s="63">
        <f t="shared" si="10"/>
        <v>18240.519999999997</v>
      </c>
      <c r="BM64" s="63">
        <f t="shared" si="11"/>
        <v>59895.820000000007</v>
      </c>
    </row>
    <row r="65" spans="1:65" x14ac:dyDescent="0.25">
      <c r="A65" s="24" t="s">
        <v>291</v>
      </c>
      <c r="B65" s="91"/>
      <c r="C65" s="91"/>
      <c r="D65" s="91"/>
      <c r="E65" s="91"/>
      <c r="F65" s="9"/>
      <c r="G65" s="9"/>
      <c r="H65" s="91"/>
      <c r="I65" s="91"/>
      <c r="J65" s="91"/>
      <c r="K65" s="91"/>
      <c r="L65" s="91"/>
      <c r="M65" s="91"/>
      <c r="N65" s="76"/>
      <c r="O65" s="76"/>
      <c r="P65" s="91"/>
      <c r="Q65" s="91"/>
      <c r="R65" s="91"/>
      <c r="S65" s="91"/>
      <c r="T65" s="91"/>
      <c r="U65" s="91"/>
      <c r="V65" s="91"/>
      <c r="W65" s="91"/>
      <c r="X65" s="91"/>
      <c r="Y65" s="91">
        <v>1</v>
      </c>
      <c r="Z65" s="91">
        <v>3</v>
      </c>
      <c r="AA65" s="91">
        <v>303</v>
      </c>
      <c r="AB65" s="91"/>
      <c r="AC65" s="91"/>
      <c r="AD65" s="91"/>
      <c r="AE65" s="91"/>
      <c r="AF65" s="69"/>
      <c r="AG65" s="91"/>
      <c r="AH65" s="91"/>
      <c r="AI65" s="91"/>
      <c r="AJ65" s="91"/>
      <c r="AK65" s="91"/>
      <c r="AL65" s="76"/>
      <c r="AM65" s="76"/>
      <c r="AN65" s="91"/>
      <c r="AO65" s="91"/>
      <c r="AP65" s="91"/>
      <c r="AQ65" s="91"/>
      <c r="AR65" s="76"/>
      <c r="AS65" s="76"/>
      <c r="AT65" s="91">
        <v>2</v>
      </c>
      <c r="AU65" s="91">
        <v>57</v>
      </c>
      <c r="AV65" s="91">
        <v>0</v>
      </c>
      <c r="AW65" s="91">
        <v>0</v>
      </c>
      <c r="AX65" s="91"/>
      <c r="AY65" s="91"/>
      <c r="AZ65" s="91"/>
      <c r="BA65" s="91"/>
      <c r="BB65" s="91"/>
      <c r="BC65" s="91"/>
      <c r="BD65" s="91">
        <v>35</v>
      </c>
      <c r="BE65" s="91">
        <v>127</v>
      </c>
      <c r="BF65" s="91">
        <v>3</v>
      </c>
      <c r="BG65" s="91">
        <v>222</v>
      </c>
      <c r="BH65" s="91"/>
      <c r="BI65" s="91"/>
      <c r="BJ65" s="91"/>
      <c r="BK65" s="91"/>
      <c r="BL65" s="68">
        <f t="shared" si="10"/>
        <v>43</v>
      </c>
      <c r="BM65" s="68">
        <f t="shared" si="11"/>
        <v>710</v>
      </c>
    </row>
    <row r="66" spans="1:65" x14ac:dyDescent="0.25">
      <c r="A66" s="24" t="s">
        <v>292</v>
      </c>
      <c r="B66" s="91">
        <v>1</v>
      </c>
      <c r="C66" s="91">
        <v>3</v>
      </c>
      <c r="D66" s="91">
        <v>25</v>
      </c>
      <c r="E66" s="91">
        <v>138</v>
      </c>
      <c r="F66" s="9"/>
      <c r="G66" s="9"/>
      <c r="H66" s="91">
        <v>-75</v>
      </c>
      <c r="I66" s="91">
        <v>-204</v>
      </c>
      <c r="J66" s="91">
        <v>124</v>
      </c>
      <c r="K66" s="91">
        <v>468</v>
      </c>
      <c r="L66" s="91">
        <v>1287</v>
      </c>
      <c r="M66" s="91">
        <v>4485</v>
      </c>
      <c r="N66" s="76"/>
      <c r="O66" s="76"/>
      <c r="P66" s="91">
        <v>1.56</v>
      </c>
      <c r="Q66" s="91">
        <v>1.56</v>
      </c>
      <c r="R66" s="91">
        <v>58.98</v>
      </c>
      <c r="S66" s="91">
        <v>242.36</v>
      </c>
      <c r="T66" s="91">
        <v>-158</v>
      </c>
      <c r="U66" s="91">
        <v>-975</v>
      </c>
      <c r="V66" s="91">
        <v>-3792</v>
      </c>
      <c r="W66" s="91">
        <v>-14004</v>
      </c>
      <c r="X66" s="91">
        <v>1602</v>
      </c>
      <c r="Y66" s="91">
        <v>3859</v>
      </c>
      <c r="Z66" s="91">
        <v>18</v>
      </c>
      <c r="AA66" s="91">
        <v>85</v>
      </c>
      <c r="AB66" s="91">
        <v>99.98</v>
      </c>
      <c r="AC66" s="91">
        <v>261.18</v>
      </c>
      <c r="AD66" s="91">
        <v>4</v>
      </c>
      <c r="AE66" s="91">
        <v>16</v>
      </c>
      <c r="AF66" s="69">
        <v>-5</v>
      </c>
      <c r="AG66" s="91">
        <v>-10</v>
      </c>
      <c r="AH66" s="91">
        <v>15.27</v>
      </c>
      <c r="AI66" s="91">
        <v>41.46</v>
      </c>
      <c r="AJ66" s="91">
        <v>124</v>
      </c>
      <c r="AK66" s="91">
        <v>327</v>
      </c>
      <c r="AL66" s="91">
        <v>45</v>
      </c>
      <c r="AM66" s="91">
        <v>246</v>
      </c>
      <c r="AN66" s="91">
        <v>-34</v>
      </c>
      <c r="AO66" s="91">
        <v>-108</v>
      </c>
      <c r="AP66" s="91">
        <v>2</v>
      </c>
      <c r="AQ66" s="91">
        <v>4</v>
      </c>
      <c r="AR66" s="76">
        <v>1234</v>
      </c>
      <c r="AS66" s="76">
        <v>2660</v>
      </c>
      <c r="AT66" s="91">
        <v>68</v>
      </c>
      <c r="AU66" s="91">
        <v>419</v>
      </c>
      <c r="AV66" s="91">
        <v>6827</v>
      </c>
      <c r="AW66" s="91">
        <v>20464</v>
      </c>
      <c r="AX66" s="91">
        <v>28</v>
      </c>
      <c r="AY66" s="91">
        <v>127</v>
      </c>
      <c r="AZ66" s="91">
        <v>431</v>
      </c>
      <c r="BA66" s="91">
        <v>1004</v>
      </c>
      <c r="BB66" s="91">
        <v>703</v>
      </c>
      <c r="BC66" s="91">
        <v>779</v>
      </c>
      <c r="BD66" s="91">
        <v>257</v>
      </c>
      <c r="BE66" s="91">
        <v>1062</v>
      </c>
      <c r="BF66" s="91">
        <v>18</v>
      </c>
      <c r="BG66" s="91">
        <v>345</v>
      </c>
      <c r="BH66" s="91">
        <v>906</v>
      </c>
      <c r="BI66" s="91">
        <v>3020</v>
      </c>
      <c r="BJ66" s="91">
        <v>981</v>
      </c>
      <c r="BK66" s="91">
        <v>2756</v>
      </c>
      <c r="BL66" s="68">
        <f t="shared" si="10"/>
        <v>10796.79</v>
      </c>
      <c r="BM66" s="68">
        <f t="shared" si="11"/>
        <v>27512.560000000001</v>
      </c>
    </row>
    <row r="67" spans="1:65" s="7" customFormat="1" x14ac:dyDescent="0.25">
      <c r="A67" s="10" t="s">
        <v>190</v>
      </c>
      <c r="B67" s="10">
        <v>8</v>
      </c>
      <c r="C67" s="10">
        <v>27</v>
      </c>
      <c r="D67" s="10">
        <v>1315</v>
      </c>
      <c r="E67" s="10">
        <v>2598</v>
      </c>
      <c r="F67" s="10"/>
      <c r="G67" s="10"/>
      <c r="H67" s="10">
        <v>580</v>
      </c>
      <c r="I67" s="10">
        <v>2016</v>
      </c>
      <c r="J67" s="10">
        <v>1725</v>
      </c>
      <c r="K67" s="10">
        <v>4768</v>
      </c>
      <c r="L67" s="10">
        <v>642</v>
      </c>
      <c r="M67" s="10">
        <v>2462</v>
      </c>
      <c r="N67" s="10"/>
      <c r="O67" s="10"/>
      <c r="P67" s="10">
        <v>18.55</v>
      </c>
      <c r="Q67" s="10">
        <v>18.55</v>
      </c>
      <c r="R67" s="10">
        <v>332.33</v>
      </c>
      <c r="S67" s="10">
        <v>847.95</v>
      </c>
      <c r="T67" s="10">
        <v>120</v>
      </c>
      <c r="U67" s="10">
        <v>238</v>
      </c>
      <c r="V67" s="10">
        <v>-1401</v>
      </c>
      <c r="W67" s="10">
        <v>-5662</v>
      </c>
      <c r="X67" s="10">
        <v>-682</v>
      </c>
      <c r="Y67" s="10">
        <v>-924</v>
      </c>
      <c r="Z67" s="10">
        <v>273</v>
      </c>
      <c r="AA67" s="10">
        <v>1409</v>
      </c>
      <c r="AB67" s="10">
        <v>-86.59</v>
      </c>
      <c r="AC67" s="10">
        <v>-199.25</v>
      </c>
      <c r="AD67" s="10">
        <v>33</v>
      </c>
      <c r="AE67" s="10">
        <v>165</v>
      </c>
      <c r="AF67" s="10">
        <v>4</v>
      </c>
      <c r="AG67" s="10">
        <v>33</v>
      </c>
      <c r="AH67" s="10">
        <v>43.44</v>
      </c>
      <c r="AI67" s="10">
        <v>141.01</v>
      </c>
      <c r="AJ67" s="10">
        <v>167</v>
      </c>
      <c r="AK67" s="10">
        <v>502</v>
      </c>
      <c r="AL67" s="10">
        <v>174</v>
      </c>
      <c r="AM67" s="10">
        <v>582</v>
      </c>
      <c r="AN67" s="10">
        <v>-8</v>
      </c>
      <c r="AO67" s="10">
        <v>-41</v>
      </c>
      <c r="AP67" s="10">
        <v>-1</v>
      </c>
      <c r="AQ67" s="10">
        <v>-2</v>
      </c>
      <c r="AR67" s="10">
        <v>-867</v>
      </c>
      <c r="AS67" s="10">
        <v>-1776</v>
      </c>
      <c r="AT67" s="10">
        <v>69</v>
      </c>
      <c r="AU67" s="10">
        <v>156</v>
      </c>
      <c r="AV67" s="10">
        <v>-4101</v>
      </c>
      <c r="AW67" s="10">
        <v>-11618</v>
      </c>
      <c r="AX67" s="10">
        <v>38</v>
      </c>
      <c r="AY67" s="10">
        <v>118</v>
      </c>
      <c r="AZ67" s="10">
        <v>492</v>
      </c>
      <c r="BA67" s="10">
        <v>1466</v>
      </c>
      <c r="BB67" s="10">
        <v>181</v>
      </c>
      <c r="BC67" s="10">
        <v>942</v>
      </c>
      <c r="BD67" s="10">
        <v>759</v>
      </c>
      <c r="BE67" s="10">
        <v>3465</v>
      </c>
      <c r="BF67" s="10">
        <v>450</v>
      </c>
      <c r="BG67" s="10">
        <v>1618</v>
      </c>
      <c r="BH67" s="10">
        <v>-280</v>
      </c>
      <c r="BI67" s="10">
        <v>-854</v>
      </c>
      <c r="BJ67" s="10">
        <v>-639</v>
      </c>
      <c r="BK67" s="10">
        <v>-3</v>
      </c>
      <c r="BL67" s="63">
        <f t="shared" si="10"/>
        <v>-641.27</v>
      </c>
      <c r="BM67" s="63">
        <f t="shared" si="11"/>
        <v>2493.2600000000002</v>
      </c>
    </row>
    <row r="68" spans="1:65" x14ac:dyDescent="0.25">
      <c r="A68" s="22"/>
      <c r="S68" s="71"/>
    </row>
    <row r="69" spans="1:65" x14ac:dyDescent="0.25">
      <c r="A69" s="23" t="s">
        <v>244</v>
      </c>
    </row>
    <row r="70" spans="1:65" x14ac:dyDescent="0.25">
      <c r="A70" s="3" t="s">
        <v>0</v>
      </c>
      <c r="B70" s="154" t="s">
        <v>1</v>
      </c>
      <c r="C70" s="155"/>
      <c r="D70" s="154" t="s">
        <v>234</v>
      </c>
      <c r="E70" s="155"/>
      <c r="F70" s="154" t="s">
        <v>2</v>
      </c>
      <c r="G70" s="155"/>
      <c r="H70" s="154" t="s">
        <v>3</v>
      </c>
      <c r="I70" s="155"/>
      <c r="J70" s="154" t="s">
        <v>243</v>
      </c>
      <c r="K70" s="155"/>
      <c r="L70" s="154" t="s">
        <v>235</v>
      </c>
      <c r="M70" s="155"/>
      <c r="N70" s="154" t="s">
        <v>5</v>
      </c>
      <c r="O70" s="155"/>
      <c r="P70" s="154" t="s">
        <v>4</v>
      </c>
      <c r="Q70" s="155"/>
      <c r="R70" s="154" t="s">
        <v>6</v>
      </c>
      <c r="S70" s="155"/>
      <c r="T70" s="154" t="s">
        <v>246</v>
      </c>
      <c r="U70" s="155"/>
      <c r="V70" s="154" t="s">
        <v>7</v>
      </c>
      <c r="W70" s="155"/>
      <c r="X70" s="154" t="s">
        <v>8</v>
      </c>
      <c r="Y70" s="155"/>
      <c r="Z70" s="154" t="s">
        <v>9</v>
      </c>
      <c r="AA70" s="155"/>
      <c r="AB70" s="154" t="s">
        <v>242</v>
      </c>
      <c r="AC70" s="155"/>
      <c r="AD70" s="154" t="s">
        <v>10</v>
      </c>
      <c r="AE70" s="155"/>
      <c r="AF70" s="154" t="s">
        <v>11</v>
      </c>
      <c r="AG70" s="155"/>
      <c r="AH70" s="154" t="s">
        <v>236</v>
      </c>
      <c r="AI70" s="155"/>
      <c r="AJ70" s="154" t="s">
        <v>245</v>
      </c>
      <c r="AK70" s="155"/>
      <c r="AL70" s="154" t="s">
        <v>12</v>
      </c>
      <c r="AM70" s="155"/>
      <c r="AN70" s="154" t="s">
        <v>237</v>
      </c>
      <c r="AO70" s="155"/>
      <c r="AP70" s="154" t="s">
        <v>238</v>
      </c>
      <c r="AQ70" s="155"/>
      <c r="AR70" s="154" t="s">
        <v>241</v>
      </c>
      <c r="AS70" s="155"/>
      <c r="AT70" s="154" t="s">
        <v>13</v>
      </c>
      <c r="AU70" s="155"/>
      <c r="AV70" s="154" t="s">
        <v>14</v>
      </c>
      <c r="AW70" s="155"/>
      <c r="AX70" s="154" t="s">
        <v>15</v>
      </c>
      <c r="AY70" s="155"/>
      <c r="AZ70" s="154" t="s">
        <v>16</v>
      </c>
      <c r="BA70" s="155"/>
      <c r="BB70" s="154" t="s">
        <v>17</v>
      </c>
      <c r="BC70" s="155"/>
      <c r="BD70" s="154" t="s">
        <v>239</v>
      </c>
      <c r="BE70" s="155"/>
      <c r="BF70" s="154" t="s">
        <v>240</v>
      </c>
      <c r="BG70" s="155"/>
      <c r="BH70" s="154" t="s">
        <v>18</v>
      </c>
      <c r="BI70" s="155"/>
      <c r="BJ70" s="154" t="s">
        <v>19</v>
      </c>
      <c r="BK70" s="155"/>
      <c r="BL70" s="156" t="s">
        <v>20</v>
      </c>
      <c r="BM70" s="157"/>
    </row>
    <row r="71" spans="1:65" ht="30" x14ac:dyDescent="0.25">
      <c r="A71" s="3"/>
      <c r="B71" s="53" t="s">
        <v>300</v>
      </c>
      <c r="C71" s="54" t="s">
        <v>301</v>
      </c>
      <c r="D71" s="53" t="s">
        <v>300</v>
      </c>
      <c r="E71" s="54" t="s">
        <v>301</v>
      </c>
      <c r="F71" s="53" t="s">
        <v>300</v>
      </c>
      <c r="G71" s="54" t="s">
        <v>301</v>
      </c>
      <c r="H71" s="53" t="s">
        <v>300</v>
      </c>
      <c r="I71" s="54" t="s">
        <v>301</v>
      </c>
      <c r="J71" s="53" t="s">
        <v>300</v>
      </c>
      <c r="K71" s="54" t="s">
        <v>301</v>
      </c>
      <c r="L71" s="53" t="s">
        <v>300</v>
      </c>
      <c r="M71" s="54" t="s">
        <v>301</v>
      </c>
      <c r="N71" s="53" t="s">
        <v>300</v>
      </c>
      <c r="O71" s="54" t="s">
        <v>301</v>
      </c>
      <c r="P71" s="53" t="s">
        <v>300</v>
      </c>
      <c r="Q71" s="54" t="s">
        <v>301</v>
      </c>
      <c r="R71" s="53" t="s">
        <v>300</v>
      </c>
      <c r="S71" s="54" t="s">
        <v>301</v>
      </c>
      <c r="T71" s="53" t="s">
        <v>300</v>
      </c>
      <c r="U71" s="54" t="s">
        <v>301</v>
      </c>
      <c r="V71" s="53" t="s">
        <v>300</v>
      </c>
      <c r="W71" s="54" t="s">
        <v>301</v>
      </c>
      <c r="X71" s="53" t="s">
        <v>300</v>
      </c>
      <c r="Y71" s="54" t="s">
        <v>301</v>
      </c>
      <c r="Z71" s="53" t="s">
        <v>300</v>
      </c>
      <c r="AA71" s="54" t="s">
        <v>301</v>
      </c>
      <c r="AB71" s="53" t="s">
        <v>300</v>
      </c>
      <c r="AC71" s="54" t="s">
        <v>301</v>
      </c>
      <c r="AD71" s="53" t="s">
        <v>300</v>
      </c>
      <c r="AE71" s="54" t="s">
        <v>301</v>
      </c>
      <c r="AF71" s="53" t="s">
        <v>300</v>
      </c>
      <c r="AG71" s="54" t="s">
        <v>301</v>
      </c>
      <c r="AH71" s="53" t="s">
        <v>300</v>
      </c>
      <c r="AI71" s="54" t="s">
        <v>301</v>
      </c>
      <c r="AJ71" s="53" t="s">
        <v>300</v>
      </c>
      <c r="AK71" s="54" t="s">
        <v>301</v>
      </c>
      <c r="AL71" s="53" t="s">
        <v>300</v>
      </c>
      <c r="AM71" s="54" t="s">
        <v>301</v>
      </c>
      <c r="AN71" s="53" t="s">
        <v>300</v>
      </c>
      <c r="AO71" s="54" t="s">
        <v>301</v>
      </c>
      <c r="AP71" s="53" t="s">
        <v>300</v>
      </c>
      <c r="AQ71" s="54" t="s">
        <v>301</v>
      </c>
      <c r="AR71" s="53" t="s">
        <v>300</v>
      </c>
      <c r="AS71" s="54" t="s">
        <v>301</v>
      </c>
      <c r="AT71" s="53" t="s">
        <v>300</v>
      </c>
      <c r="AU71" s="54" t="s">
        <v>301</v>
      </c>
      <c r="AV71" s="53" t="s">
        <v>300</v>
      </c>
      <c r="AW71" s="54" t="s">
        <v>301</v>
      </c>
      <c r="AX71" s="53" t="s">
        <v>300</v>
      </c>
      <c r="AY71" s="54" t="s">
        <v>301</v>
      </c>
      <c r="AZ71" s="53" t="s">
        <v>300</v>
      </c>
      <c r="BA71" s="54" t="s">
        <v>301</v>
      </c>
      <c r="BB71" s="53" t="s">
        <v>300</v>
      </c>
      <c r="BC71" s="54" t="s">
        <v>301</v>
      </c>
      <c r="BD71" s="53" t="s">
        <v>300</v>
      </c>
      <c r="BE71" s="54" t="s">
        <v>301</v>
      </c>
      <c r="BF71" s="53" t="s">
        <v>300</v>
      </c>
      <c r="BG71" s="54" t="s">
        <v>301</v>
      </c>
      <c r="BH71" s="53" t="s">
        <v>300</v>
      </c>
      <c r="BI71" s="54" t="s">
        <v>301</v>
      </c>
      <c r="BJ71" s="53" t="s">
        <v>300</v>
      </c>
      <c r="BK71" s="54" t="s">
        <v>301</v>
      </c>
      <c r="BL71" s="104" t="s">
        <v>300</v>
      </c>
      <c r="BM71" s="105" t="s">
        <v>301</v>
      </c>
    </row>
    <row r="72" spans="1:65" x14ac:dyDescent="0.25">
      <c r="A72" s="24" t="s">
        <v>287</v>
      </c>
      <c r="B72" s="9"/>
      <c r="C72" s="9"/>
      <c r="D72" s="9"/>
      <c r="E72" s="9"/>
      <c r="F72" s="91">
        <v>3907</v>
      </c>
      <c r="G72" s="91">
        <v>7704</v>
      </c>
      <c r="H72" s="76"/>
      <c r="I72" s="91">
        <v>1</v>
      </c>
      <c r="J72" s="76"/>
      <c r="K72" s="76"/>
      <c r="L72" s="9"/>
      <c r="M72" s="9"/>
      <c r="N72" s="9"/>
      <c r="O72" s="9"/>
      <c r="P72" s="76"/>
      <c r="Q72" s="76"/>
      <c r="R72" s="76"/>
      <c r="S72" s="76"/>
      <c r="T72" s="91">
        <v>0</v>
      </c>
      <c r="U72" s="91">
        <v>0</v>
      </c>
      <c r="V72" s="91">
        <v>12</v>
      </c>
      <c r="W72" s="91">
        <v>629</v>
      </c>
      <c r="X72" s="91">
        <v>25</v>
      </c>
      <c r="Y72" s="91">
        <v>26</v>
      </c>
      <c r="Z72" s="9"/>
      <c r="AA72" s="9"/>
      <c r="AB72" s="76"/>
      <c r="AC72" s="76"/>
      <c r="AD72" s="76"/>
      <c r="AE72" s="76"/>
      <c r="AF72" s="69"/>
      <c r="AG72" s="9"/>
      <c r="AH72" s="9"/>
      <c r="AI72" s="9"/>
      <c r="AJ72" s="9"/>
      <c r="AK72" s="9"/>
      <c r="AL72" s="9"/>
      <c r="AM72" s="9"/>
      <c r="AN72" s="76"/>
      <c r="AO72" s="76"/>
      <c r="AP72" s="9"/>
      <c r="AQ72" s="9"/>
      <c r="AR72" s="9"/>
      <c r="AS72" s="9"/>
      <c r="AT72" s="76"/>
      <c r="AU72" s="76"/>
      <c r="AV72" s="91">
        <v>8</v>
      </c>
      <c r="AW72" s="91">
        <v>8</v>
      </c>
      <c r="AX72" s="76"/>
      <c r="AY72" s="76"/>
      <c r="AZ72" s="9"/>
      <c r="BA72" s="9"/>
      <c r="BB72" s="91">
        <v>2</v>
      </c>
      <c r="BC72" s="91">
        <v>14</v>
      </c>
      <c r="BD72" s="76"/>
      <c r="BE72" s="76"/>
      <c r="BF72" s="91">
        <v>483</v>
      </c>
      <c r="BG72" s="91">
        <v>2139</v>
      </c>
      <c r="BH72" s="9"/>
      <c r="BI72" s="9"/>
      <c r="BJ72" s="9"/>
      <c r="BK72" s="9"/>
      <c r="BL72" s="68">
        <f t="shared" ref="BL72:BL78" si="12">SUM(B72+D72+F72+H72+J72+L72+N72+P72+R72+T72+V72+X72+Z72+AB72+AD72+AF72+AH72+AJ72+AL72+AN72+AP72+AR72+AT72+AV72+AX72+AZ72+BB72+BD72+BF72+BH72+BJ72)</f>
        <v>4437</v>
      </c>
      <c r="BM72" s="68">
        <f t="shared" ref="BM72:BM78" si="13">SUM(C72+E72+G72+I72+K72+M72+O72+Q72+S72+U72+W72+Y72+AA72+AC72+AE72+AG72+AI72+AK72+AM72+AO72+AQ72+AS72+AU72+AW72+AY72+BA72+BC72+BE72+BG72+BI72+BK72)</f>
        <v>10521</v>
      </c>
    </row>
    <row r="73" spans="1:65" s="71" customFormat="1" x14ac:dyDescent="0.25">
      <c r="A73" s="24" t="s">
        <v>288</v>
      </c>
      <c r="B73" s="91"/>
      <c r="C73" s="91"/>
      <c r="D73" s="91"/>
      <c r="E73" s="91"/>
      <c r="F73" s="91">
        <v>0</v>
      </c>
      <c r="G73" s="91">
        <v>0</v>
      </c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>
        <v>8</v>
      </c>
      <c r="Y73" s="91">
        <v>8</v>
      </c>
      <c r="Z73" s="91"/>
      <c r="AA73" s="91"/>
      <c r="AB73" s="91"/>
      <c r="AC73" s="91"/>
      <c r="AD73" s="91"/>
      <c r="AE73" s="91"/>
      <c r="AF73" s="69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>
        <v>3</v>
      </c>
      <c r="AW73" s="91">
        <v>3</v>
      </c>
      <c r="AX73" s="91"/>
      <c r="AY73" s="91"/>
      <c r="AZ73" s="91"/>
      <c r="BA73" s="91"/>
      <c r="BB73" s="91">
        <v>1</v>
      </c>
      <c r="BC73" s="91">
        <v>2</v>
      </c>
      <c r="BD73" s="91"/>
      <c r="BE73" s="91"/>
      <c r="BF73" s="91">
        <v>0</v>
      </c>
      <c r="BG73" s="91">
        <v>0</v>
      </c>
      <c r="BH73" s="91"/>
      <c r="BI73" s="91"/>
      <c r="BJ73" s="91"/>
      <c r="BK73" s="91"/>
      <c r="BL73" s="68">
        <f t="shared" si="12"/>
        <v>12</v>
      </c>
      <c r="BM73" s="68">
        <f t="shared" si="13"/>
        <v>13</v>
      </c>
    </row>
    <row r="74" spans="1:65" s="71" customFormat="1" x14ac:dyDescent="0.25">
      <c r="A74" s="24" t="s">
        <v>289</v>
      </c>
      <c r="B74" s="91"/>
      <c r="C74" s="91"/>
      <c r="D74" s="91"/>
      <c r="E74" s="91"/>
      <c r="F74" s="91">
        <v>0</v>
      </c>
      <c r="G74" s="91">
        <v>0</v>
      </c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69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>
        <v>0</v>
      </c>
      <c r="BG74" s="91">
        <v>0</v>
      </c>
      <c r="BH74" s="91"/>
      <c r="BI74" s="91"/>
      <c r="BJ74" s="91"/>
      <c r="BK74" s="91"/>
      <c r="BL74" s="68">
        <f t="shared" si="12"/>
        <v>0</v>
      </c>
      <c r="BM74" s="68">
        <f t="shared" si="13"/>
        <v>0</v>
      </c>
    </row>
    <row r="75" spans="1:65" s="7" customFormat="1" x14ac:dyDescent="0.25">
      <c r="A75" s="10" t="s">
        <v>290</v>
      </c>
      <c r="B75" s="10"/>
      <c r="C75" s="10"/>
      <c r="D75" s="10"/>
      <c r="E75" s="10"/>
      <c r="F75" s="10">
        <v>3907</v>
      </c>
      <c r="G75" s="10">
        <v>7704</v>
      </c>
      <c r="H75" s="10"/>
      <c r="I75" s="10">
        <v>1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>
        <v>0</v>
      </c>
      <c r="U75" s="10">
        <v>0</v>
      </c>
      <c r="V75" s="10">
        <v>12</v>
      </c>
      <c r="W75" s="10">
        <v>629</v>
      </c>
      <c r="X75" s="10">
        <v>33</v>
      </c>
      <c r="Y75" s="10">
        <v>34</v>
      </c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>
        <v>-300</v>
      </c>
      <c r="AM75" s="10">
        <v>-678</v>
      </c>
      <c r="AN75" s="10"/>
      <c r="AO75" s="10"/>
      <c r="AP75" s="10"/>
      <c r="AQ75" s="10"/>
      <c r="AR75" s="10"/>
      <c r="AS75" s="10"/>
      <c r="AT75" s="10"/>
      <c r="AU75" s="10"/>
      <c r="AV75" s="10">
        <v>11</v>
      </c>
      <c r="AW75" s="10">
        <v>11</v>
      </c>
      <c r="AX75" s="10"/>
      <c r="AY75" s="10"/>
      <c r="AZ75" s="10"/>
      <c r="BA75" s="10"/>
      <c r="BB75" s="10">
        <v>3</v>
      </c>
      <c r="BC75" s="10">
        <v>16</v>
      </c>
      <c r="BD75" s="10">
        <v>2162</v>
      </c>
      <c r="BE75" s="10">
        <v>1505</v>
      </c>
      <c r="BF75" s="10">
        <v>483</v>
      </c>
      <c r="BG75" s="10">
        <v>2139</v>
      </c>
      <c r="BH75" s="10">
        <v>-6</v>
      </c>
      <c r="BI75" s="10">
        <v>418</v>
      </c>
      <c r="BJ75" s="10"/>
      <c r="BK75" s="10"/>
      <c r="BL75" s="63">
        <f t="shared" si="12"/>
        <v>6305</v>
      </c>
      <c r="BM75" s="63">
        <f t="shared" si="13"/>
        <v>11779</v>
      </c>
    </row>
    <row r="76" spans="1:65" x14ac:dyDescent="0.25">
      <c r="A76" s="24" t="s">
        <v>291</v>
      </c>
      <c r="B76" s="9"/>
      <c r="C76" s="9"/>
      <c r="D76" s="9"/>
      <c r="E76" s="9"/>
      <c r="F76" s="91">
        <v>0</v>
      </c>
      <c r="G76" s="91">
        <v>0</v>
      </c>
      <c r="H76" s="76"/>
      <c r="I76" s="91"/>
      <c r="J76" s="76"/>
      <c r="K76" s="76"/>
      <c r="L76" s="9"/>
      <c r="M76" s="9"/>
      <c r="N76" s="9"/>
      <c r="O76" s="9"/>
      <c r="P76" s="76"/>
      <c r="Q76" s="76"/>
      <c r="R76" s="76"/>
      <c r="S76" s="76"/>
      <c r="T76" s="91">
        <v>84</v>
      </c>
      <c r="U76" s="91">
        <v>132</v>
      </c>
      <c r="V76" s="91"/>
      <c r="W76" s="91"/>
      <c r="X76" s="91"/>
      <c r="Y76" s="91"/>
      <c r="Z76" s="9"/>
      <c r="AA76" s="9"/>
      <c r="AB76" s="76"/>
      <c r="AC76" s="76"/>
      <c r="AD76" s="76"/>
      <c r="AE76" s="76"/>
      <c r="AF76" s="69"/>
      <c r="AG76" s="9"/>
      <c r="AH76" s="9"/>
      <c r="AI76" s="9"/>
      <c r="AJ76" s="9"/>
      <c r="AK76" s="9"/>
      <c r="AL76" s="91"/>
      <c r="AM76" s="91"/>
      <c r="AN76" s="76"/>
      <c r="AO76" s="76"/>
      <c r="AP76" s="9"/>
      <c r="AQ76" s="9"/>
      <c r="AR76" s="9"/>
      <c r="AS76" s="9"/>
      <c r="AT76" s="76"/>
      <c r="AU76" s="76"/>
      <c r="AV76" s="91"/>
      <c r="AW76" s="91"/>
      <c r="AX76" s="76"/>
      <c r="AY76" s="76"/>
      <c r="AZ76" s="9"/>
      <c r="BA76" s="9"/>
      <c r="BB76" s="91"/>
      <c r="BC76" s="91"/>
      <c r="BD76" s="91">
        <v>0</v>
      </c>
      <c r="BE76" s="91">
        <v>47</v>
      </c>
      <c r="BF76" s="91">
        <v>0</v>
      </c>
      <c r="BG76" s="91">
        <v>28</v>
      </c>
      <c r="BH76" s="91"/>
      <c r="BI76" s="91"/>
      <c r="BJ76" s="9"/>
      <c r="BK76" s="9"/>
      <c r="BL76" s="68">
        <f t="shared" si="12"/>
        <v>84</v>
      </c>
      <c r="BM76" s="68">
        <f t="shared" si="13"/>
        <v>207</v>
      </c>
    </row>
    <row r="77" spans="1:65" x14ac:dyDescent="0.25">
      <c r="A77" s="24" t="s">
        <v>292</v>
      </c>
      <c r="B77" s="76"/>
      <c r="C77" s="76"/>
      <c r="D77" s="9"/>
      <c r="E77" s="9"/>
      <c r="F77" s="91">
        <v>9496</v>
      </c>
      <c r="G77" s="91">
        <v>28030</v>
      </c>
      <c r="H77" s="91">
        <v>-1789</v>
      </c>
      <c r="I77" s="91">
        <v>-10578</v>
      </c>
      <c r="J77" s="76"/>
      <c r="K77" s="76"/>
      <c r="L77" s="91">
        <v>54</v>
      </c>
      <c r="M77" s="91">
        <v>57</v>
      </c>
      <c r="N77" s="9"/>
      <c r="O77" s="9"/>
      <c r="P77" s="76"/>
      <c r="Q77" s="76"/>
      <c r="R77" s="91">
        <v>1048.76</v>
      </c>
      <c r="S77" s="91">
        <v>1048.76</v>
      </c>
      <c r="T77" s="91">
        <v>-35</v>
      </c>
      <c r="U77" s="91">
        <v>-86</v>
      </c>
      <c r="V77" s="91">
        <v>-3670</v>
      </c>
      <c r="W77" s="91">
        <v>-14174</v>
      </c>
      <c r="X77" s="91">
        <v>89</v>
      </c>
      <c r="Y77" s="91">
        <v>3540</v>
      </c>
      <c r="Z77" s="91">
        <v>170</v>
      </c>
      <c r="AA77" s="91">
        <v>3792</v>
      </c>
      <c r="AB77" s="76"/>
      <c r="AC77" s="76"/>
      <c r="AD77" s="76"/>
      <c r="AE77" s="76"/>
      <c r="AF77" s="69"/>
      <c r="AG77" s="9"/>
      <c r="AH77" s="9"/>
      <c r="AI77" s="9"/>
      <c r="AJ77" s="9"/>
      <c r="AK77" s="9"/>
      <c r="AL77" s="91">
        <v>-806</v>
      </c>
      <c r="AM77" s="91">
        <v>-755</v>
      </c>
      <c r="AN77" s="76"/>
      <c r="AO77" s="76"/>
      <c r="AP77" s="9"/>
      <c r="AQ77" s="9"/>
      <c r="AR77" s="9">
        <v>5299</v>
      </c>
      <c r="AS77" s="9">
        <v>15375</v>
      </c>
      <c r="AT77" s="76"/>
      <c r="AU77" s="76"/>
      <c r="AV77" s="91">
        <v>1932</v>
      </c>
      <c r="AW77" s="91">
        <v>6905</v>
      </c>
      <c r="AX77" s="76"/>
      <c r="AY77" s="76"/>
      <c r="AZ77" s="9"/>
      <c r="BA77" s="9"/>
      <c r="BB77" s="91">
        <v>5</v>
      </c>
      <c r="BC77" s="91">
        <v>40</v>
      </c>
      <c r="BD77" s="91">
        <v>785</v>
      </c>
      <c r="BE77" s="91">
        <v>1037</v>
      </c>
      <c r="BF77" s="91">
        <v>1511</v>
      </c>
      <c r="BG77" s="91">
        <v>240</v>
      </c>
      <c r="BH77" s="91">
        <v>1204</v>
      </c>
      <c r="BI77" s="91">
        <v>-77</v>
      </c>
      <c r="BJ77" s="91">
        <v>1471</v>
      </c>
      <c r="BK77" s="91">
        <v>5490</v>
      </c>
      <c r="BL77" s="68">
        <f t="shared" si="12"/>
        <v>16764.760000000002</v>
      </c>
      <c r="BM77" s="68">
        <f t="shared" si="13"/>
        <v>39884.759999999995</v>
      </c>
    </row>
    <row r="78" spans="1:65" s="7" customFormat="1" x14ac:dyDescent="0.25">
      <c r="A78" s="10" t="s">
        <v>190</v>
      </c>
      <c r="B78" s="10"/>
      <c r="C78" s="10"/>
      <c r="D78" s="10"/>
      <c r="E78" s="10"/>
      <c r="F78" s="10">
        <v>-5589</v>
      </c>
      <c r="G78" s="10">
        <v>-20326</v>
      </c>
      <c r="H78" s="10">
        <v>-1789</v>
      </c>
      <c r="I78" s="10">
        <v>-10577</v>
      </c>
      <c r="J78" s="10"/>
      <c r="K78" s="10"/>
      <c r="L78" s="10">
        <v>-54</v>
      </c>
      <c r="M78" s="10">
        <v>-57</v>
      </c>
      <c r="N78" s="10"/>
      <c r="O78" s="10"/>
      <c r="P78" s="10"/>
      <c r="Q78" s="10"/>
      <c r="R78" s="10">
        <v>-1048.76</v>
      </c>
      <c r="S78" s="10">
        <v>-1048.76</v>
      </c>
      <c r="T78" s="10">
        <v>49</v>
      </c>
      <c r="U78" s="10">
        <v>46</v>
      </c>
      <c r="V78" s="10">
        <v>-3658</v>
      </c>
      <c r="W78" s="10">
        <v>-13545</v>
      </c>
      <c r="X78" s="10">
        <v>-56</v>
      </c>
      <c r="Y78" s="10">
        <v>-3506</v>
      </c>
      <c r="Z78" s="10">
        <v>-170</v>
      </c>
      <c r="AA78" s="10">
        <v>-3792</v>
      </c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>
        <v>506</v>
      </c>
      <c r="AM78" s="10">
        <v>77</v>
      </c>
      <c r="AN78" s="10"/>
      <c r="AO78" s="10"/>
      <c r="AP78" s="10"/>
      <c r="AQ78" s="10"/>
      <c r="AR78" s="10">
        <v>-5299</v>
      </c>
      <c r="AS78" s="10">
        <v>-15375</v>
      </c>
      <c r="AT78" s="10"/>
      <c r="AU78" s="10"/>
      <c r="AV78" s="10">
        <v>-1921</v>
      </c>
      <c r="AW78" s="10">
        <v>-6894</v>
      </c>
      <c r="AX78" s="10"/>
      <c r="AY78" s="10"/>
      <c r="AZ78" s="10"/>
      <c r="BA78" s="10"/>
      <c r="BB78" s="10">
        <v>-1</v>
      </c>
      <c r="BC78" s="10">
        <v>-24</v>
      </c>
      <c r="BD78" s="10">
        <v>1377</v>
      </c>
      <c r="BE78" s="10">
        <v>515</v>
      </c>
      <c r="BF78" s="10">
        <v>-1028</v>
      </c>
      <c r="BG78" s="10">
        <v>1927</v>
      </c>
      <c r="BH78" s="10">
        <v>-1211</v>
      </c>
      <c r="BI78" s="10">
        <v>495</v>
      </c>
      <c r="BJ78" s="10">
        <v>-1471</v>
      </c>
      <c r="BK78" s="10">
        <v>-5490</v>
      </c>
      <c r="BL78" s="63">
        <f t="shared" si="12"/>
        <v>-21363.760000000002</v>
      </c>
      <c r="BM78" s="63">
        <f t="shared" si="13"/>
        <v>-77574.759999999995</v>
      </c>
    </row>
    <row r="79" spans="1:65" x14ac:dyDescent="0.25">
      <c r="A79" s="25"/>
    </row>
    <row r="80" spans="1:65" x14ac:dyDescent="0.25">
      <c r="A80" s="26" t="s">
        <v>188</v>
      </c>
    </row>
    <row r="81" spans="1:65" x14ac:dyDescent="0.25">
      <c r="A81" s="3" t="s">
        <v>0</v>
      </c>
      <c r="B81" s="154" t="s">
        <v>1</v>
      </c>
      <c r="C81" s="155"/>
      <c r="D81" s="154" t="s">
        <v>234</v>
      </c>
      <c r="E81" s="155"/>
      <c r="F81" s="154" t="s">
        <v>2</v>
      </c>
      <c r="G81" s="155"/>
      <c r="H81" s="154" t="s">
        <v>3</v>
      </c>
      <c r="I81" s="155"/>
      <c r="J81" s="154" t="s">
        <v>243</v>
      </c>
      <c r="K81" s="155"/>
      <c r="L81" s="154" t="s">
        <v>235</v>
      </c>
      <c r="M81" s="155"/>
      <c r="N81" s="154" t="s">
        <v>5</v>
      </c>
      <c r="O81" s="155"/>
      <c r="P81" s="154" t="s">
        <v>4</v>
      </c>
      <c r="Q81" s="155"/>
      <c r="R81" s="154" t="s">
        <v>6</v>
      </c>
      <c r="S81" s="155"/>
      <c r="T81" s="154" t="s">
        <v>246</v>
      </c>
      <c r="U81" s="155"/>
      <c r="V81" s="154" t="s">
        <v>7</v>
      </c>
      <c r="W81" s="155"/>
      <c r="X81" s="154" t="s">
        <v>8</v>
      </c>
      <c r="Y81" s="155"/>
      <c r="Z81" s="154" t="s">
        <v>9</v>
      </c>
      <c r="AA81" s="155"/>
      <c r="AB81" s="154" t="s">
        <v>242</v>
      </c>
      <c r="AC81" s="155"/>
      <c r="AD81" s="154" t="s">
        <v>10</v>
      </c>
      <c r="AE81" s="155"/>
      <c r="AF81" s="154" t="s">
        <v>11</v>
      </c>
      <c r="AG81" s="155"/>
      <c r="AH81" s="154" t="s">
        <v>236</v>
      </c>
      <c r="AI81" s="155"/>
      <c r="AJ81" s="154" t="s">
        <v>245</v>
      </c>
      <c r="AK81" s="155"/>
      <c r="AL81" s="154" t="s">
        <v>12</v>
      </c>
      <c r="AM81" s="155"/>
      <c r="AN81" s="154" t="s">
        <v>237</v>
      </c>
      <c r="AO81" s="155"/>
      <c r="AP81" s="154" t="s">
        <v>238</v>
      </c>
      <c r="AQ81" s="155"/>
      <c r="AR81" s="154" t="s">
        <v>241</v>
      </c>
      <c r="AS81" s="155"/>
      <c r="AT81" s="154" t="s">
        <v>13</v>
      </c>
      <c r="AU81" s="155"/>
      <c r="AV81" s="154" t="s">
        <v>14</v>
      </c>
      <c r="AW81" s="155"/>
      <c r="AX81" s="154" t="s">
        <v>15</v>
      </c>
      <c r="AY81" s="155"/>
      <c r="AZ81" s="154" t="s">
        <v>16</v>
      </c>
      <c r="BA81" s="155"/>
      <c r="BB81" s="154" t="s">
        <v>17</v>
      </c>
      <c r="BC81" s="155"/>
      <c r="BD81" s="154" t="s">
        <v>239</v>
      </c>
      <c r="BE81" s="155"/>
      <c r="BF81" s="154" t="s">
        <v>240</v>
      </c>
      <c r="BG81" s="155"/>
      <c r="BH81" s="154" t="s">
        <v>18</v>
      </c>
      <c r="BI81" s="155"/>
      <c r="BJ81" s="154" t="s">
        <v>19</v>
      </c>
      <c r="BK81" s="155"/>
      <c r="BL81" s="156" t="s">
        <v>20</v>
      </c>
      <c r="BM81" s="157"/>
    </row>
    <row r="82" spans="1:65" ht="30" x14ac:dyDescent="0.25">
      <c r="A82" s="3"/>
      <c r="B82" s="53" t="s">
        <v>300</v>
      </c>
      <c r="C82" s="54" t="s">
        <v>301</v>
      </c>
      <c r="D82" s="53" t="s">
        <v>300</v>
      </c>
      <c r="E82" s="54" t="s">
        <v>301</v>
      </c>
      <c r="F82" s="53" t="s">
        <v>300</v>
      </c>
      <c r="G82" s="54" t="s">
        <v>301</v>
      </c>
      <c r="H82" s="53" t="s">
        <v>300</v>
      </c>
      <c r="I82" s="54" t="s">
        <v>301</v>
      </c>
      <c r="J82" s="53" t="s">
        <v>300</v>
      </c>
      <c r="K82" s="54" t="s">
        <v>301</v>
      </c>
      <c r="L82" s="53" t="s">
        <v>300</v>
      </c>
      <c r="M82" s="54" t="s">
        <v>301</v>
      </c>
      <c r="N82" s="53" t="s">
        <v>300</v>
      </c>
      <c r="O82" s="54" t="s">
        <v>301</v>
      </c>
      <c r="P82" s="53" t="s">
        <v>300</v>
      </c>
      <c r="Q82" s="54" t="s">
        <v>301</v>
      </c>
      <c r="R82" s="53" t="s">
        <v>300</v>
      </c>
      <c r="S82" s="54" t="s">
        <v>301</v>
      </c>
      <c r="T82" s="53" t="s">
        <v>300</v>
      </c>
      <c r="U82" s="54" t="s">
        <v>301</v>
      </c>
      <c r="V82" s="53" t="s">
        <v>300</v>
      </c>
      <c r="W82" s="54" t="s">
        <v>301</v>
      </c>
      <c r="X82" s="53" t="s">
        <v>300</v>
      </c>
      <c r="Y82" s="54" t="s">
        <v>301</v>
      </c>
      <c r="Z82" s="53" t="s">
        <v>300</v>
      </c>
      <c r="AA82" s="54" t="s">
        <v>301</v>
      </c>
      <c r="AB82" s="53" t="s">
        <v>300</v>
      </c>
      <c r="AC82" s="54" t="s">
        <v>301</v>
      </c>
      <c r="AD82" s="53" t="s">
        <v>300</v>
      </c>
      <c r="AE82" s="54" t="s">
        <v>301</v>
      </c>
      <c r="AF82" s="53" t="s">
        <v>300</v>
      </c>
      <c r="AG82" s="54" t="s">
        <v>301</v>
      </c>
      <c r="AH82" s="53" t="s">
        <v>300</v>
      </c>
      <c r="AI82" s="54" t="s">
        <v>301</v>
      </c>
      <c r="AJ82" s="53" t="s">
        <v>300</v>
      </c>
      <c r="AK82" s="54" t="s">
        <v>301</v>
      </c>
      <c r="AL82" s="53" t="s">
        <v>300</v>
      </c>
      <c r="AM82" s="54" t="s">
        <v>301</v>
      </c>
      <c r="AN82" s="53" t="s">
        <v>300</v>
      </c>
      <c r="AO82" s="54" t="s">
        <v>301</v>
      </c>
      <c r="AP82" s="53" t="s">
        <v>300</v>
      </c>
      <c r="AQ82" s="54" t="s">
        <v>301</v>
      </c>
      <c r="AR82" s="53" t="s">
        <v>300</v>
      </c>
      <c r="AS82" s="54" t="s">
        <v>301</v>
      </c>
      <c r="AT82" s="53" t="s">
        <v>300</v>
      </c>
      <c r="AU82" s="54" t="s">
        <v>301</v>
      </c>
      <c r="AV82" s="53" t="s">
        <v>300</v>
      </c>
      <c r="AW82" s="54" t="s">
        <v>301</v>
      </c>
      <c r="AX82" s="53" t="s">
        <v>300</v>
      </c>
      <c r="AY82" s="54" t="s">
        <v>301</v>
      </c>
      <c r="AZ82" s="53" t="s">
        <v>300</v>
      </c>
      <c r="BA82" s="54" t="s">
        <v>301</v>
      </c>
      <c r="BB82" s="53" t="s">
        <v>300</v>
      </c>
      <c r="BC82" s="54" t="s">
        <v>301</v>
      </c>
      <c r="BD82" s="53" t="s">
        <v>300</v>
      </c>
      <c r="BE82" s="54" t="s">
        <v>301</v>
      </c>
      <c r="BF82" s="53" t="s">
        <v>300</v>
      </c>
      <c r="BG82" s="54" t="s">
        <v>301</v>
      </c>
      <c r="BH82" s="53" t="s">
        <v>300</v>
      </c>
      <c r="BI82" s="54" t="s">
        <v>301</v>
      </c>
      <c r="BJ82" s="53" t="s">
        <v>300</v>
      </c>
      <c r="BK82" s="54" t="s">
        <v>301</v>
      </c>
      <c r="BL82" s="104" t="s">
        <v>300</v>
      </c>
      <c r="BM82" s="105" t="s">
        <v>301</v>
      </c>
    </row>
    <row r="83" spans="1:65" x14ac:dyDescent="0.25">
      <c r="A83" s="24" t="s">
        <v>287</v>
      </c>
      <c r="B83" s="9"/>
      <c r="C83" s="9"/>
      <c r="D83" s="9"/>
      <c r="E83" s="9"/>
      <c r="F83" s="9"/>
      <c r="G83" s="9"/>
      <c r="H83" s="91">
        <v>12</v>
      </c>
      <c r="I83" s="91">
        <v>104</v>
      </c>
      <c r="J83" s="9"/>
      <c r="K83" s="9"/>
      <c r="L83" s="9"/>
      <c r="M83" s="9"/>
      <c r="N83" s="9"/>
      <c r="O83" s="9"/>
      <c r="P83" s="76"/>
      <c r="Q83" s="76"/>
      <c r="R83" s="91">
        <v>13.62</v>
      </c>
      <c r="S83" s="91">
        <v>13.83</v>
      </c>
      <c r="T83" s="76"/>
      <c r="U83" s="76"/>
      <c r="V83" s="91"/>
      <c r="W83" s="91">
        <v>60</v>
      </c>
      <c r="X83" s="91">
        <v>68</v>
      </c>
      <c r="Y83" s="91">
        <v>189</v>
      </c>
      <c r="Z83" s="9"/>
      <c r="AA83" s="9"/>
      <c r="AB83" s="9"/>
      <c r="AC83" s="9"/>
      <c r="AD83" s="9"/>
      <c r="AE83" s="9"/>
      <c r="AF83" s="10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>
        <v>3</v>
      </c>
      <c r="AS83" s="9">
        <v>37</v>
      </c>
      <c r="AT83" s="9"/>
      <c r="AU83" s="9"/>
      <c r="AV83" s="91">
        <v>-1</v>
      </c>
      <c r="AW83" s="91"/>
      <c r="AX83" s="9"/>
      <c r="AY83" s="9"/>
      <c r="AZ83" s="9"/>
      <c r="BA83" s="9"/>
      <c r="BB83" s="9"/>
      <c r="BC83" s="9"/>
      <c r="BD83" s="76"/>
      <c r="BE83" s="76"/>
      <c r="BF83" s="91">
        <v>12</v>
      </c>
      <c r="BG83" s="91">
        <v>131</v>
      </c>
      <c r="BH83" s="9"/>
      <c r="BI83" s="9"/>
      <c r="BJ83" s="9"/>
      <c r="BK83" s="9"/>
      <c r="BL83" s="68">
        <f t="shared" ref="BL83:BL89" si="14">SUM(B83+D83+F83+H83+J83+L83+N83+P83+R83+T83+V83+X83+Z83+AB83+AD83+AF83+AH83+AJ83+AL83+AN83+AP83+AR83+AT83+AV83+AX83+AZ83+BB83+BD83+BF83+BH83+BJ83)</f>
        <v>107.62</v>
      </c>
      <c r="BM83" s="68">
        <f t="shared" ref="BM83:BM89" si="15">SUM(C83+E83+G83+I83+K83+M83+O83+Q83+S83+U83+W83+Y83+AA83+AC83+AE83+AG83+AI83+AK83+AM83+AO83+AQ83+AS83+AU83+AW83+AY83+BA83+BC83+BE83+BG83+BI83+BK83)</f>
        <v>534.82999999999993</v>
      </c>
    </row>
    <row r="84" spans="1:65" s="71" customFormat="1" x14ac:dyDescent="0.25">
      <c r="A84" s="24" t="s">
        <v>288</v>
      </c>
      <c r="B84" s="91"/>
      <c r="C84" s="91"/>
      <c r="D84" s="91"/>
      <c r="E84" s="91"/>
      <c r="F84" s="91"/>
      <c r="G84" s="91"/>
      <c r="H84" s="91">
        <v>1</v>
      </c>
      <c r="I84" s="91">
        <v>5</v>
      </c>
      <c r="J84" s="91"/>
      <c r="K84" s="91"/>
      <c r="L84" s="91"/>
      <c r="M84" s="91"/>
      <c r="N84" s="91"/>
      <c r="O84" s="91"/>
      <c r="P84" s="91"/>
      <c r="Q84" s="91"/>
      <c r="R84" s="91">
        <v>20.440000000000001</v>
      </c>
      <c r="S84" s="91">
        <v>20.55</v>
      </c>
      <c r="T84" s="91"/>
      <c r="U84" s="91"/>
      <c r="V84" s="91"/>
      <c r="W84" s="91"/>
      <c r="X84" s="91">
        <v>6</v>
      </c>
      <c r="Y84" s="91">
        <v>7</v>
      </c>
      <c r="Z84" s="91"/>
      <c r="AA84" s="91"/>
      <c r="AB84" s="91"/>
      <c r="AC84" s="91"/>
      <c r="AD84" s="91"/>
      <c r="AE84" s="91"/>
      <c r="AF84" s="10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>
        <v>1</v>
      </c>
      <c r="AS84" s="91">
        <v>-6</v>
      </c>
      <c r="AT84" s="91"/>
      <c r="AU84" s="91"/>
      <c r="AV84" s="91">
        <v>0</v>
      </c>
      <c r="AW84" s="91"/>
      <c r="AX84" s="91"/>
      <c r="AY84" s="91"/>
      <c r="AZ84" s="91"/>
      <c r="BA84" s="91"/>
      <c r="BB84" s="91"/>
      <c r="BC84" s="91"/>
      <c r="BD84" s="91"/>
      <c r="BE84" s="91"/>
      <c r="BF84" s="91">
        <v>3</v>
      </c>
      <c r="BG84" s="91">
        <v>7</v>
      </c>
      <c r="BH84" s="91"/>
      <c r="BI84" s="91"/>
      <c r="BJ84" s="91"/>
      <c r="BK84" s="91"/>
      <c r="BL84" s="68">
        <f t="shared" si="14"/>
        <v>31.44</v>
      </c>
      <c r="BM84" s="68">
        <f t="shared" si="15"/>
        <v>33.549999999999997</v>
      </c>
    </row>
    <row r="85" spans="1:65" s="71" customFormat="1" x14ac:dyDescent="0.25">
      <c r="A85" s="24" t="s">
        <v>289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10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>
        <v>0</v>
      </c>
      <c r="BG85" s="91" t="s">
        <v>314</v>
      </c>
      <c r="BH85" s="91"/>
      <c r="BI85" s="91"/>
      <c r="BJ85" s="91"/>
      <c r="BK85" s="91"/>
      <c r="BL85" s="68">
        <f t="shared" si="14"/>
        <v>0</v>
      </c>
      <c r="BM85" s="68" t="e">
        <f t="shared" si="15"/>
        <v>#VALUE!</v>
      </c>
    </row>
    <row r="86" spans="1:65" s="7" customFormat="1" x14ac:dyDescent="0.25">
      <c r="A86" s="10" t="s">
        <v>290</v>
      </c>
      <c r="B86" s="10"/>
      <c r="C86" s="10"/>
      <c r="D86" s="10"/>
      <c r="E86" s="10"/>
      <c r="F86" s="10"/>
      <c r="G86" s="10"/>
      <c r="H86" s="10">
        <v>13</v>
      </c>
      <c r="I86" s="10">
        <v>109</v>
      </c>
      <c r="J86" s="10"/>
      <c r="K86" s="10"/>
      <c r="L86" s="10"/>
      <c r="M86" s="10"/>
      <c r="N86" s="10"/>
      <c r="O86" s="10"/>
      <c r="P86" s="10"/>
      <c r="Q86" s="10"/>
      <c r="R86" s="10">
        <v>34.06</v>
      </c>
      <c r="S86" s="10">
        <v>34.380000000000003</v>
      </c>
      <c r="T86" s="10"/>
      <c r="U86" s="10"/>
      <c r="V86" s="10"/>
      <c r="W86" s="10">
        <v>60</v>
      </c>
      <c r="X86" s="10">
        <v>74</v>
      </c>
      <c r="Y86" s="10">
        <v>196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>
        <v>47</v>
      </c>
      <c r="AM86" s="10">
        <v>122</v>
      </c>
      <c r="AN86" s="10"/>
      <c r="AO86" s="10"/>
      <c r="AP86" s="10"/>
      <c r="AQ86" s="10"/>
      <c r="AR86" s="10">
        <v>4</v>
      </c>
      <c r="AS86" s="10">
        <v>31</v>
      </c>
      <c r="AT86" s="10"/>
      <c r="AU86" s="10"/>
      <c r="AV86" s="10">
        <v>-1</v>
      </c>
      <c r="AW86" s="10">
        <v>1</v>
      </c>
      <c r="AX86" s="10"/>
      <c r="AY86" s="10"/>
      <c r="AZ86" s="10"/>
      <c r="BA86" s="10"/>
      <c r="BB86" s="10"/>
      <c r="BC86" s="10"/>
      <c r="BD86" s="10">
        <v>91</v>
      </c>
      <c r="BE86" s="10">
        <v>416</v>
      </c>
      <c r="BF86" s="10">
        <v>15</v>
      </c>
      <c r="BG86" s="10">
        <v>138</v>
      </c>
      <c r="BH86" s="10">
        <v>44</v>
      </c>
      <c r="BI86" s="10">
        <v>136</v>
      </c>
      <c r="BJ86" s="10"/>
      <c r="BK86" s="10"/>
      <c r="BL86" s="63">
        <f t="shared" si="14"/>
        <v>321.06</v>
      </c>
      <c r="BM86" s="63">
        <f t="shared" si="15"/>
        <v>1243.3800000000001</v>
      </c>
    </row>
    <row r="87" spans="1:65" x14ac:dyDescent="0.25">
      <c r="A87" s="24" t="s">
        <v>291</v>
      </c>
      <c r="B87" s="9"/>
      <c r="C87" s="9"/>
      <c r="D87" s="9"/>
      <c r="E87" s="9"/>
      <c r="F87" s="9"/>
      <c r="G87" s="9"/>
      <c r="H87" s="91"/>
      <c r="I87" s="91"/>
      <c r="J87" s="9"/>
      <c r="K87" s="9"/>
      <c r="L87" s="9"/>
      <c r="M87" s="9"/>
      <c r="N87" s="9"/>
      <c r="O87" s="9"/>
      <c r="P87" s="76"/>
      <c r="Q87" s="76"/>
      <c r="R87" s="91"/>
      <c r="S87" s="91"/>
      <c r="T87" s="76"/>
      <c r="U87" s="76"/>
      <c r="V87" s="91"/>
      <c r="W87" s="91"/>
      <c r="X87" s="91">
        <v>37</v>
      </c>
      <c r="Y87" s="91">
        <v>97</v>
      </c>
      <c r="Z87" s="9"/>
      <c r="AA87" s="9"/>
      <c r="AB87" s="9"/>
      <c r="AC87" s="9"/>
      <c r="AD87" s="9"/>
      <c r="AE87" s="9"/>
      <c r="AF87" s="10"/>
      <c r="AG87" s="9"/>
      <c r="AH87" s="9"/>
      <c r="AI87" s="9"/>
      <c r="AJ87" s="9"/>
      <c r="AK87" s="9"/>
      <c r="AL87" s="91">
        <v>190</v>
      </c>
      <c r="AM87" s="91">
        <v>763</v>
      </c>
      <c r="AN87" s="9"/>
      <c r="AO87" s="9"/>
      <c r="AP87" s="9"/>
      <c r="AQ87" s="9"/>
      <c r="AR87" s="9"/>
      <c r="AS87" s="9"/>
      <c r="AT87" s="9"/>
      <c r="AU87" s="9"/>
      <c r="AV87" s="91"/>
      <c r="AW87" s="91"/>
      <c r="AX87" s="9"/>
      <c r="AY87" s="9"/>
      <c r="AZ87" s="9"/>
      <c r="BA87" s="9"/>
      <c r="BB87" s="9"/>
      <c r="BC87" s="9"/>
      <c r="BD87" s="91">
        <v>250</v>
      </c>
      <c r="BE87" s="91">
        <v>658</v>
      </c>
      <c r="BF87" s="91">
        <v>181</v>
      </c>
      <c r="BG87" s="91">
        <v>828</v>
      </c>
      <c r="BH87" s="91">
        <v>87</v>
      </c>
      <c r="BI87" s="91">
        <v>298</v>
      </c>
      <c r="BJ87" s="9"/>
      <c r="BK87" s="9"/>
      <c r="BL87" s="68">
        <f t="shared" si="14"/>
        <v>745</v>
      </c>
      <c r="BM87" s="68">
        <f t="shared" si="15"/>
        <v>2644</v>
      </c>
    </row>
    <row r="88" spans="1:65" x14ac:dyDescent="0.25">
      <c r="A88" s="24" t="s">
        <v>292</v>
      </c>
      <c r="B88" s="9"/>
      <c r="C88" s="9"/>
      <c r="D88" s="9"/>
      <c r="E88" s="9"/>
      <c r="F88" s="9"/>
      <c r="G88" s="9"/>
      <c r="H88" s="91">
        <v>-23</v>
      </c>
      <c r="I88" s="91">
        <v>-67</v>
      </c>
      <c r="J88" s="9"/>
      <c r="K88" s="9"/>
      <c r="L88" s="9"/>
      <c r="M88" s="9"/>
      <c r="N88" s="9"/>
      <c r="O88" s="9"/>
      <c r="P88" s="76"/>
      <c r="Q88" s="76"/>
      <c r="R88" s="91">
        <v>5.1100000000000003</v>
      </c>
      <c r="S88" s="91">
        <v>6.5</v>
      </c>
      <c r="T88" s="76"/>
      <c r="U88" s="76"/>
      <c r="V88" s="91">
        <v>-9</v>
      </c>
      <c r="W88" s="91">
        <v>-106</v>
      </c>
      <c r="X88" s="91">
        <v>109</v>
      </c>
      <c r="Y88" s="91">
        <v>200</v>
      </c>
      <c r="Z88" s="9"/>
      <c r="AA88" s="9"/>
      <c r="AB88" s="9"/>
      <c r="AC88" s="9"/>
      <c r="AD88" s="9"/>
      <c r="AE88" s="9"/>
      <c r="AF88" s="10"/>
      <c r="AG88" s="9"/>
      <c r="AH88" s="9"/>
      <c r="AI88" s="9"/>
      <c r="AJ88" s="9"/>
      <c r="AK88" s="9"/>
      <c r="AL88" s="91">
        <v>105</v>
      </c>
      <c r="AM88" s="91">
        <v>230</v>
      </c>
      <c r="AN88" s="9"/>
      <c r="AO88" s="9"/>
      <c r="AP88" s="9"/>
      <c r="AQ88" s="9"/>
      <c r="AR88" s="9">
        <v>25</v>
      </c>
      <c r="AS88" s="9">
        <v>155</v>
      </c>
      <c r="AT88" s="9"/>
      <c r="AU88" s="9"/>
      <c r="AV88" s="91">
        <v>0</v>
      </c>
      <c r="AW88" s="91">
        <v>0</v>
      </c>
      <c r="AX88" s="9"/>
      <c r="AY88" s="9"/>
      <c r="AZ88" s="9"/>
      <c r="BA88" s="9"/>
      <c r="BB88" s="91"/>
      <c r="BC88" s="91"/>
      <c r="BD88" s="91">
        <v>286</v>
      </c>
      <c r="BE88" s="91">
        <v>856</v>
      </c>
      <c r="BF88" s="91">
        <v>-528</v>
      </c>
      <c r="BG88" s="91">
        <v>99</v>
      </c>
      <c r="BH88" s="91">
        <v>153</v>
      </c>
      <c r="BI88" s="91">
        <v>341</v>
      </c>
      <c r="BJ88" s="9"/>
      <c r="BK88" s="9"/>
      <c r="BL88" s="68">
        <f t="shared" si="14"/>
        <v>123.11000000000001</v>
      </c>
      <c r="BM88" s="68">
        <f t="shared" si="15"/>
        <v>1714.5</v>
      </c>
    </row>
    <row r="89" spans="1:65" s="7" customFormat="1" x14ac:dyDescent="0.25">
      <c r="A89" s="10" t="s">
        <v>190</v>
      </c>
      <c r="B89" s="10"/>
      <c r="C89" s="10"/>
      <c r="D89" s="10"/>
      <c r="E89" s="10"/>
      <c r="F89" s="10"/>
      <c r="G89" s="10"/>
      <c r="H89" s="10">
        <v>-10</v>
      </c>
      <c r="I89" s="10">
        <v>42</v>
      </c>
      <c r="J89" s="10"/>
      <c r="K89" s="10"/>
      <c r="L89" s="10"/>
      <c r="M89" s="10"/>
      <c r="N89" s="10"/>
      <c r="O89" s="10"/>
      <c r="P89" s="10"/>
      <c r="Q89" s="10"/>
      <c r="R89" s="10">
        <v>28.96</v>
      </c>
      <c r="S89" s="10">
        <v>27.88</v>
      </c>
      <c r="T89" s="10"/>
      <c r="U89" s="10"/>
      <c r="V89" s="10">
        <v>-9</v>
      </c>
      <c r="W89" s="10">
        <v>-46</v>
      </c>
      <c r="X89" s="10">
        <v>2</v>
      </c>
      <c r="Y89" s="10">
        <v>93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>
        <v>133</v>
      </c>
      <c r="AM89" s="10">
        <v>655</v>
      </c>
      <c r="AN89" s="10"/>
      <c r="AO89" s="10"/>
      <c r="AP89" s="10"/>
      <c r="AQ89" s="10"/>
      <c r="AR89" s="10">
        <v>-20</v>
      </c>
      <c r="AS89" s="10">
        <v>-124</v>
      </c>
      <c r="AT89" s="10"/>
      <c r="AU89" s="10"/>
      <c r="AV89" s="10">
        <v>-1</v>
      </c>
      <c r="AW89" s="10">
        <v>1</v>
      </c>
      <c r="AX89" s="10"/>
      <c r="AY89" s="10"/>
      <c r="AZ89" s="10"/>
      <c r="BA89" s="10"/>
      <c r="BB89" s="10"/>
      <c r="BC89" s="10"/>
      <c r="BD89" s="10">
        <v>55</v>
      </c>
      <c r="BE89" s="10">
        <v>219</v>
      </c>
      <c r="BF89" s="10">
        <v>725</v>
      </c>
      <c r="BG89" s="10">
        <v>867</v>
      </c>
      <c r="BH89" s="10">
        <v>-22</v>
      </c>
      <c r="BI89" s="10">
        <v>93</v>
      </c>
      <c r="BJ89" s="10"/>
      <c r="BK89" s="10"/>
      <c r="BL89" s="63">
        <f t="shared" si="14"/>
        <v>881.96</v>
      </c>
      <c r="BM89" s="63">
        <f t="shared" si="15"/>
        <v>1827.88</v>
      </c>
    </row>
    <row r="90" spans="1:65" x14ac:dyDescent="0.25">
      <c r="A90" s="22"/>
    </row>
    <row r="91" spans="1:65" x14ac:dyDescent="0.25">
      <c r="A91" s="23" t="s">
        <v>189</v>
      </c>
    </row>
    <row r="92" spans="1:65" x14ac:dyDescent="0.25">
      <c r="A92" s="3" t="s">
        <v>0</v>
      </c>
      <c r="B92" s="154" t="s">
        <v>1</v>
      </c>
      <c r="C92" s="155"/>
      <c r="D92" s="154" t="s">
        <v>234</v>
      </c>
      <c r="E92" s="155"/>
      <c r="F92" s="154" t="s">
        <v>2</v>
      </c>
      <c r="G92" s="155"/>
      <c r="H92" s="154" t="s">
        <v>3</v>
      </c>
      <c r="I92" s="155"/>
      <c r="J92" s="154" t="s">
        <v>243</v>
      </c>
      <c r="K92" s="155"/>
      <c r="L92" s="154" t="s">
        <v>235</v>
      </c>
      <c r="M92" s="155"/>
      <c r="N92" s="154" t="s">
        <v>5</v>
      </c>
      <c r="O92" s="155"/>
      <c r="P92" s="154" t="s">
        <v>4</v>
      </c>
      <c r="Q92" s="155"/>
      <c r="R92" s="154" t="s">
        <v>6</v>
      </c>
      <c r="S92" s="155"/>
      <c r="T92" s="154" t="s">
        <v>246</v>
      </c>
      <c r="U92" s="155"/>
      <c r="V92" s="154" t="s">
        <v>7</v>
      </c>
      <c r="W92" s="155"/>
      <c r="X92" s="154" t="s">
        <v>8</v>
      </c>
      <c r="Y92" s="155"/>
      <c r="Z92" s="154" t="s">
        <v>9</v>
      </c>
      <c r="AA92" s="155"/>
      <c r="AB92" s="154" t="s">
        <v>242</v>
      </c>
      <c r="AC92" s="155"/>
      <c r="AD92" s="154" t="s">
        <v>10</v>
      </c>
      <c r="AE92" s="155"/>
      <c r="AF92" s="154" t="s">
        <v>11</v>
      </c>
      <c r="AG92" s="155"/>
      <c r="AH92" s="154" t="s">
        <v>236</v>
      </c>
      <c r="AI92" s="155"/>
      <c r="AJ92" s="154" t="s">
        <v>245</v>
      </c>
      <c r="AK92" s="155"/>
      <c r="AL92" s="154" t="s">
        <v>12</v>
      </c>
      <c r="AM92" s="155"/>
      <c r="AN92" s="154" t="s">
        <v>237</v>
      </c>
      <c r="AO92" s="155"/>
      <c r="AP92" s="154" t="s">
        <v>238</v>
      </c>
      <c r="AQ92" s="155"/>
      <c r="AR92" s="154" t="s">
        <v>241</v>
      </c>
      <c r="AS92" s="155"/>
      <c r="AT92" s="154" t="s">
        <v>13</v>
      </c>
      <c r="AU92" s="155"/>
      <c r="AV92" s="154" t="s">
        <v>14</v>
      </c>
      <c r="AW92" s="155"/>
      <c r="AX92" s="154" t="s">
        <v>15</v>
      </c>
      <c r="AY92" s="155"/>
      <c r="AZ92" s="154" t="s">
        <v>16</v>
      </c>
      <c r="BA92" s="155"/>
      <c r="BB92" s="154" t="s">
        <v>17</v>
      </c>
      <c r="BC92" s="155"/>
      <c r="BD92" s="154" t="s">
        <v>239</v>
      </c>
      <c r="BE92" s="155"/>
      <c r="BF92" s="154" t="s">
        <v>240</v>
      </c>
      <c r="BG92" s="155"/>
      <c r="BH92" s="154" t="s">
        <v>18</v>
      </c>
      <c r="BI92" s="155"/>
      <c r="BJ92" s="154" t="s">
        <v>19</v>
      </c>
      <c r="BK92" s="155"/>
      <c r="BL92" s="156" t="s">
        <v>20</v>
      </c>
      <c r="BM92" s="157"/>
    </row>
    <row r="93" spans="1:65" ht="30" x14ac:dyDescent="0.25">
      <c r="A93" s="3"/>
      <c r="B93" s="53" t="s">
        <v>300</v>
      </c>
      <c r="C93" s="54" t="s">
        <v>301</v>
      </c>
      <c r="D93" s="53" t="s">
        <v>300</v>
      </c>
      <c r="E93" s="54" t="s">
        <v>301</v>
      </c>
      <c r="F93" s="53" t="s">
        <v>300</v>
      </c>
      <c r="G93" s="54" t="s">
        <v>301</v>
      </c>
      <c r="H93" s="53" t="s">
        <v>300</v>
      </c>
      <c r="I93" s="54" t="s">
        <v>301</v>
      </c>
      <c r="J93" s="53" t="s">
        <v>300</v>
      </c>
      <c r="K93" s="54" t="s">
        <v>301</v>
      </c>
      <c r="L93" s="53" t="s">
        <v>300</v>
      </c>
      <c r="M93" s="54" t="s">
        <v>301</v>
      </c>
      <c r="N93" s="53" t="s">
        <v>300</v>
      </c>
      <c r="O93" s="54" t="s">
        <v>301</v>
      </c>
      <c r="P93" s="53" t="s">
        <v>300</v>
      </c>
      <c r="Q93" s="54" t="s">
        <v>301</v>
      </c>
      <c r="R93" s="53" t="s">
        <v>300</v>
      </c>
      <c r="S93" s="54" t="s">
        <v>301</v>
      </c>
      <c r="T93" s="53" t="s">
        <v>300</v>
      </c>
      <c r="U93" s="54" t="s">
        <v>301</v>
      </c>
      <c r="V93" s="53" t="s">
        <v>300</v>
      </c>
      <c r="W93" s="54" t="s">
        <v>301</v>
      </c>
      <c r="X93" s="53" t="s">
        <v>300</v>
      </c>
      <c r="Y93" s="54" t="s">
        <v>301</v>
      </c>
      <c r="Z93" s="53" t="s">
        <v>300</v>
      </c>
      <c r="AA93" s="54" t="s">
        <v>301</v>
      </c>
      <c r="AB93" s="53" t="s">
        <v>300</v>
      </c>
      <c r="AC93" s="54" t="s">
        <v>301</v>
      </c>
      <c r="AD93" s="53" t="s">
        <v>300</v>
      </c>
      <c r="AE93" s="54" t="s">
        <v>301</v>
      </c>
      <c r="AF93" s="53" t="s">
        <v>300</v>
      </c>
      <c r="AG93" s="54" t="s">
        <v>301</v>
      </c>
      <c r="AH93" s="53" t="s">
        <v>300</v>
      </c>
      <c r="AI93" s="54" t="s">
        <v>301</v>
      </c>
      <c r="AJ93" s="53" t="s">
        <v>300</v>
      </c>
      <c r="AK93" s="54" t="s">
        <v>301</v>
      </c>
      <c r="AL93" s="53" t="s">
        <v>300</v>
      </c>
      <c r="AM93" s="54" t="s">
        <v>301</v>
      </c>
      <c r="AN93" s="53" t="s">
        <v>300</v>
      </c>
      <c r="AO93" s="54" t="s">
        <v>301</v>
      </c>
      <c r="AP93" s="53" t="s">
        <v>300</v>
      </c>
      <c r="AQ93" s="54" t="s">
        <v>301</v>
      </c>
      <c r="AR93" s="53" t="s">
        <v>300</v>
      </c>
      <c r="AS93" s="54" t="s">
        <v>301</v>
      </c>
      <c r="AT93" s="53" t="s">
        <v>300</v>
      </c>
      <c r="AU93" s="54" t="s">
        <v>301</v>
      </c>
      <c r="AV93" s="53" t="s">
        <v>300</v>
      </c>
      <c r="AW93" s="54" t="s">
        <v>301</v>
      </c>
      <c r="AX93" s="53" t="s">
        <v>300</v>
      </c>
      <c r="AY93" s="54" t="s">
        <v>301</v>
      </c>
      <c r="AZ93" s="53" t="s">
        <v>300</v>
      </c>
      <c r="BA93" s="54" t="s">
        <v>301</v>
      </c>
      <c r="BB93" s="53" t="s">
        <v>300</v>
      </c>
      <c r="BC93" s="54" t="s">
        <v>301</v>
      </c>
      <c r="BD93" s="53" t="s">
        <v>300</v>
      </c>
      <c r="BE93" s="54" t="s">
        <v>301</v>
      </c>
      <c r="BF93" s="53" t="s">
        <v>300</v>
      </c>
      <c r="BG93" s="54" t="s">
        <v>301</v>
      </c>
      <c r="BH93" s="53" t="s">
        <v>300</v>
      </c>
      <c r="BI93" s="54" t="s">
        <v>301</v>
      </c>
      <c r="BJ93" s="53" t="s">
        <v>300</v>
      </c>
      <c r="BK93" s="54" t="s">
        <v>301</v>
      </c>
      <c r="BL93" s="104" t="s">
        <v>300</v>
      </c>
      <c r="BM93" s="105" t="s">
        <v>301</v>
      </c>
    </row>
    <row r="94" spans="1:65" x14ac:dyDescent="0.25">
      <c r="A94" s="24" t="s">
        <v>287</v>
      </c>
      <c r="B94" s="9">
        <f>B105-B83-B72-B61-B50-B39-B28-B17-B6</f>
        <v>-1</v>
      </c>
      <c r="C94" s="9">
        <f t="shared" ref="C94:AE94" si="16">C105-C83-C72-C61-C50-C39-C28-C17-C6</f>
        <v>0</v>
      </c>
      <c r="D94" s="9">
        <f t="shared" si="16"/>
        <v>6</v>
      </c>
      <c r="E94" s="9">
        <f t="shared" si="16"/>
        <v>10532</v>
      </c>
      <c r="F94" s="9">
        <f t="shared" si="16"/>
        <v>0</v>
      </c>
      <c r="G94" s="9">
        <f t="shared" si="16"/>
        <v>0</v>
      </c>
      <c r="H94" s="9">
        <f t="shared" si="16"/>
        <v>2076</v>
      </c>
      <c r="I94" s="9">
        <f t="shared" si="16"/>
        <v>8127</v>
      </c>
      <c r="J94" s="9">
        <f t="shared" si="16"/>
        <v>249</v>
      </c>
      <c r="K94" s="9">
        <f t="shared" si="16"/>
        <v>743</v>
      </c>
      <c r="L94" s="9">
        <f t="shared" si="16"/>
        <v>348</v>
      </c>
      <c r="M94" s="9">
        <f t="shared" si="16"/>
        <v>1145</v>
      </c>
      <c r="N94" s="9">
        <f t="shared" si="16"/>
        <v>709.05</v>
      </c>
      <c r="O94" s="9">
        <f t="shared" si="16"/>
        <v>1345.85</v>
      </c>
      <c r="P94" s="9">
        <f t="shared" si="16"/>
        <v>28.139999999999862</v>
      </c>
      <c r="Q94" s="9">
        <f t="shared" si="16"/>
        <v>68.209999999999752</v>
      </c>
      <c r="R94" s="9">
        <f t="shared" si="16"/>
        <v>938.89999999999964</v>
      </c>
      <c r="S94" s="9">
        <f t="shared" si="16"/>
        <v>3804.48</v>
      </c>
      <c r="T94" s="9">
        <f t="shared" si="16"/>
        <v>1799</v>
      </c>
      <c r="U94" s="9">
        <f t="shared" si="16"/>
        <v>-10712</v>
      </c>
      <c r="V94" s="9">
        <f t="shared" si="16"/>
        <v>1222</v>
      </c>
      <c r="W94" s="9">
        <f t="shared" si="16"/>
        <v>5397</v>
      </c>
      <c r="X94" s="9">
        <f t="shared" si="16"/>
        <v>2059</v>
      </c>
      <c r="Y94" s="9">
        <f t="shared" si="16"/>
        <v>7938</v>
      </c>
      <c r="Z94" s="9">
        <f t="shared" si="16"/>
        <v>2004</v>
      </c>
      <c r="AA94" s="9">
        <f t="shared" si="16"/>
        <v>8030</v>
      </c>
      <c r="AB94" s="9">
        <f t="shared" si="16"/>
        <v>49.950000000000074</v>
      </c>
      <c r="AC94" s="9">
        <f t="shared" si="16"/>
        <v>118.5000000000004</v>
      </c>
      <c r="AD94" s="9">
        <f t="shared" si="16"/>
        <v>198</v>
      </c>
      <c r="AE94" s="9">
        <f t="shared" si="16"/>
        <v>1470</v>
      </c>
      <c r="AF94" s="9">
        <f t="shared" ref="AF94:BK94" si="17">AF105-AF83-AF72-AF61-AF50-AF39-AF28-AF17-AF6</f>
        <v>242</v>
      </c>
      <c r="AG94" s="9">
        <f t="shared" si="17"/>
        <v>-6063</v>
      </c>
      <c r="AH94" s="9">
        <f t="shared" si="17"/>
        <v>2.3600000000001273</v>
      </c>
      <c r="AI94" s="9">
        <f t="shared" si="17"/>
        <v>13.659999999999854</v>
      </c>
      <c r="AJ94" s="9">
        <f t="shared" si="17"/>
        <v>2</v>
      </c>
      <c r="AK94" s="9">
        <f t="shared" si="17"/>
        <v>3</v>
      </c>
      <c r="AL94" s="9">
        <f t="shared" si="17"/>
        <v>0</v>
      </c>
      <c r="AM94" s="9">
        <f t="shared" si="17"/>
        <v>0</v>
      </c>
      <c r="AN94" s="9">
        <f t="shared" si="17"/>
        <v>-1</v>
      </c>
      <c r="AO94" s="9">
        <f t="shared" si="17"/>
        <v>1</v>
      </c>
      <c r="AP94" s="9">
        <f t="shared" si="17"/>
        <v>239</v>
      </c>
      <c r="AQ94" s="9">
        <f t="shared" si="17"/>
        <v>-2294</v>
      </c>
      <c r="AR94" s="9">
        <f t="shared" si="17"/>
        <v>813</v>
      </c>
      <c r="AS94" s="9">
        <f t="shared" si="17"/>
        <v>1267</v>
      </c>
      <c r="AT94" s="9">
        <f t="shared" si="17"/>
        <v>104</v>
      </c>
      <c r="AU94" s="9">
        <f t="shared" si="17"/>
        <v>250</v>
      </c>
      <c r="AV94" s="9">
        <f t="shared" si="17"/>
        <v>713</v>
      </c>
      <c r="AW94" s="9">
        <f t="shared" si="17"/>
        <v>2723</v>
      </c>
      <c r="AX94" s="9">
        <f t="shared" si="17"/>
        <v>33</v>
      </c>
      <c r="AY94" s="9">
        <f t="shared" si="17"/>
        <v>91</v>
      </c>
      <c r="AZ94" s="9">
        <f t="shared" si="17"/>
        <v>1</v>
      </c>
      <c r="BA94" s="9">
        <f t="shared" si="17"/>
        <v>3</v>
      </c>
      <c r="BB94" s="9">
        <f t="shared" si="17"/>
        <v>1496</v>
      </c>
      <c r="BC94" s="9">
        <f t="shared" si="17"/>
        <v>5792</v>
      </c>
      <c r="BD94" s="9">
        <f t="shared" si="17"/>
        <v>0</v>
      </c>
      <c r="BE94" s="9">
        <f t="shared" si="17"/>
        <v>0</v>
      </c>
      <c r="BF94" s="9">
        <f t="shared" si="17"/>
        <v>1646</v>
      </c>
      <c r="BG94" s="9">
        <f t="shared" si="17"/>
        <v>6287</v>
      </c>
      <c r="BH94" s="9">
        <f t="shared" si="17"/>
        <v>0</v>
      </c>
      <c r="BI94" s="9">
        <f t="shared" si="17"/>
        <v>0</v>
      </c>
      <c r="BJ94" s="9">
        <f t="shared" si="17"/>
        <v>188</v>
      </c>
      <c r="BK94" s="9">
        <f t="shared" si="17"/>
        <v>588</v>
      </c>
      <c r="BL94" s="68">
        <f t="shared" ref="BL94:BL100" si="18">SUM(B94+D94+F94+H94+J94+L94+N94+P94+R94+T94+V94+X94+Z94+AB94+AD94+AF94+AH94+AJ94+AL94+AN94+AP94+AR94+AT94+AV94+AX94+AZ94+BB94+BD94+BF94+BH94+BJ94)</f>
        <v>17164.400000000001</v>
      </c>
      <c r="BM94" s="68">
        <f t="shared" ref="BM94:BM100" si="19">SUM(C94+E94+G94+I94+K94+M94+O94+Q94+S94+U94+W94+Y94+AA94+AC94+AE94+AG94+AI94+AK94+AM94+AO94+AQ94+AS94+AU94+AW94+AY94+BA94+BC94+BE94+BG94+BI94+BK94)</f>
        <v>46668.7</v>
      </c>
    </row>
    <row r="95" spans="1:65" s="71" customFormat="1" x14ac:dyDescent="0.25">
      <c r="A95" s="24" t="s">
        <v>288</v>
      </c>
      <c r="B95" s="91">
        <f t="shared" ref="B95:BK95" si="20">B106-B84-B73-B62-B51-B40-B29-B18-B7</f>
        <v>0</v>
      </c>
      <c r="C95" s="91">
        <f t="shared" si="20"/>
        <v>0</v>
      </c>
      <c r="D95" s="91">
        <f t="shared" si="20"/>
        <v>-1</v>
      </c>
      <c r="E95" s="91">
        <f t="shared" si="20"/>
        <v>1046</v>
      </c>
      <c r="F95" s="91">
        <f t="shared" si="20"/>
        <v>0</v>
      </c>
      <c r="G95" s="91">
        <f t="shared" si="20"/>
        <v>0</v>
      </c>
      <c r="H95" s="91">
        <f t="shared" si="20"/>
        <v>416</v>
      </c>
      <c r="I95" s="91">
        <f t="shared" si="20"/>
        <v>1400</v>
      </c>
      <c r="J95" s="91">
        <f t="shared" si="20"/>
        <v>195</v>
      </c>
      <c r="K95" s="91">
        <f t="shared" si="20"/>
        <v>357</v>
      </c>
      <c r="L95" s="91">
        <f t="shared" si="20"/>
        <v>13</v>
      </c>
      <c r="M95" s="91">
        <f t="shared" si="20"/>
        <v>24</v>
      </c>
      <c r="N95" s="91">
        <f t="shared" si="20"/>
        <v>0</v>
      </c>
      <c r="O95" s="91">
        <f t="shared" si="20"/>
        <v>0</v>
      </c>
      <c r="P95" s="91">
        <f t="shared" si="20"/>
        <v>0.31999999999999318</v>
      </c>
      <c r="Q95" s="91">
        <f t="shared" si="20"/>
        <v>2.7399999999999523</v>
      </c>
      <c r="R95" s="91">
        <f t="shared" si="20"/>
        <v>52.6400000000001</v>
      </c>
      <c r="S95" s="91">
        <f t="shared" si="20"/>
        <v>239.00999999999988</v>
      </c>
      <c r="T95" s="91">
        <f t="shared" si="20"/>
        <v>352</v>
      </c>
      <c r="U95" s="91">
        <f t="shared" si="20"/>
        <v>-2760</v>
      </c>
      <c r="V95" s="91">
        <f t="shared" si="20"/>
        <v>197</v>
      </c>
      <c r="W95" s="91">
        <f t="shared" si="20"/>
        <v>1089</v>
      </c>
      <c r="X95" s="91">
        <f t="shared" si="20"/>
        <v>355</v>
      </c>
      <c r="Y95" s="91">
        <f t="shared" si="20"/>
        <v>1775</v>
      </c>
      <c r="Z95" s="91">
        <f t="shared" si="20"/>
        <v>1029</v>
      </c>
      <c r="AA95" s="91">
        <f t="shared" si="20"/>
        <v>3963</v>
      </c>
      <c r="AB95" s="91">
        <f t="shared" si="20"/>
        <v>6.540000000000024</v>
      </c>
      <c r="AC95" s="91">
        <f t="shared" si="20"/>
        <v>16.819999999999872</v>
      </c>
      <c r="AD95" s="91">
        <f t="shared" si="20"/>
        <v>11</v>
      </c>
      <c r="AE95" s="91">
        <f t="shared" si="20"/>
        <v>250</v>
      </c>
      <c r="AF95" s="91">
        <f t="shared" si="20"/>
        <v>45</v>
      </c>
      <c r="AG95" s="91">
        <f t="shared" si="20"/>
        <v>-1501</v>
      </c>
      <c r="AH95" s="91">
        <f t="shared" si="20"/>
        <v>0.29000000000002046</v>
      </c>
      <c r="AI95" s="91">
        <f t="shared" si="20"/>
        <v>0.84999999999990905</v>
      </c>
      <c r="AJ95" s="91">
        <f t="shared" si="20"/>
        <v>0</v>
      </c>
      <c r="AK95" s="91">
        <f t="shared" si="20"/>
        <v>0</v>
      </c>
      <c r="AL95" s="91">
        <f t="shared" si="20"/>
        <v>0</v>
      </c>
      <c r="AM95" s="91">
        <f t="shared" si="20"/>
        <v>0</v>
      </c>
      <c r="AN95" s="91">
        <f t="shared" si="20"/>
        <v>0</v>
      </c>
      <c r="AO95" s="91">
        <f t="shared" si="20"/>
        <v>0</v>
      </c>
      <c r="AP95" s="91">
        <f t="shared" si="20"/>
        <v>63</v>
      </c>
      <c r="AQ95" s="91">
        <f t="shared" si="20"/>
        <v>-174</v>
      </c>
      <c r="AR95" s="91">
        <f t="shared" si="20"/>
        <v>76</v>
      </c>
      <c r="AS95" s="91">
        <f t="shared" si="20"/>
        <v>281</v>
      </c>
      <c r="AT95" s="91">
        <f t="shared" si="20"/>
        <v>17</v>
      </c>
      <c r="AU95" s="91">
        <f t="shared" si="20"/>
        <v>58</v>
      </c>
      <c r="AV95" s="91">
        <f t="shared" si="20"/>
        <v>103</v>
      </c>
      <c r="AW95" s="91">
        <f t="shared" si="20"/>
        <v>621</v>
      </c>
      <c r="AX95" s="91">
        <f t="shared" si="20"/>
        <v>5</v>
      </c>
      <c r="AY95" s="91">
        <f t="shared" si="20"/>
        <v>15</v>
      </c>
      <c r="AZ95" s="91">
        <f t="shared" si="20"/>
        <v>0</v>
      </c>
      <c r="BA95" s="91">
        <f t="shared" si="20"/>
        <v>0</v>
      </c>
      <c r="BB95" s="91">
        <f t="shared" si="20"/>
        <v>339</v>
      </c>
      <c r="BC95" s="91">
        <f t="shared" si="20"/>
        <v>1716</v>
      </c>
      <c r="BD95" s="91">
        <f t="shared" si="20"/>
        <v>0</v>
      </c>
      <c r="BE95" s="91">
        <f t="shared" si="20"/>
        <v>0</v>
      </c>
      <c r="BF95" s="91">
        <f t="shared" si="20"/>
        <v>491</v>
      </c>
      <c r="BG95" s="91">
        <f t="shared" si="20"/>
        <v>1847</v>
      </c>
      <c r="BH95" s="91">
        <f t="shared" si="20"/>
        <v>0</v>
      </c>
      <c r="BI95" s="91">
        <f t="shared" si="20"/>
        <v>0</v>
      </c>
      <c r="BJ95" s="91">
        <f t="shared" si="20"/>
        <v>0</v>
      </c>
      <c r="BK95" s="91">
        <f t="shared" si="20"/>
        <v>33</v>
      </c>
      <c r="BL95" s="68">
        <f t="shared" si="18"/>
        <v>3765.79</v>
      </c>
      <c r="BM95" s="68">
        <f t="shared" si="19"/>
        <v>10299.42</v>
      </c>
    </row>
    <row r="96" spans="1:65" s="71" customFormat="1" x14ac:dyDescent="0.25">
      <c r="A96" s="24" t="s">
        <v>289</v>
      </c>
      <c r="B96" s="91">
        <f t="shared" ref="B96:BK96" si="21">B107-B85-B74-B63-B52-B41-B30-B19-B8</f>
        <v>0</v>
      </c>
      <c r="C96" s="91">
        <f t="shared" si="21"/>
        <v>0</v>
      </c>
      <c r="D96" s="91">
        <f t="shared" si="21"/>
        <v>0</v>
      </c>
      <c r="E96" s="91">
        <f t="shared" si="21"/>
        <v>0</v>
      </c>
      <c r="F96" s="91">
        <f t="shared" si="21"/>
        <v>0</v>
      </c>
      <c r="G96" s="91">
        <f t="shared" si="21"/>
        <v>0</v>
      </c>
      <c r="H96" s="91">
        <f t="shared" si="21"/>
        <v>0</v>
      </c>
      <c r="I96" s="91">
        <f t="shared" si="21"/>
        <v>1</v>
      </c>
      <c r="J96" s="91">
        <f t="shared" si="21"/>
        <v>0</v>
      </c>
      <c r="K96" s="91">
        <f t="shared" si="21"/>
        <v>0</v>
      </c>
      <c r="L96" s="91">
        <f t="shared" si="21"/>
        <v>0</v>
      </c>
      <c r="M96" s="91">
        <f t="shared" si="21"/>
        <v>0</v>
      </c>
      <c r="N96" s="91">
        <f t="shared" si="21"/>
        <v>0</v>
      </c>
      <c r="O96" s="91">
        <f t="shared" si="21"/>
        <v>0</v>
      </c>
      <c r="P96" s="91">
        <f t="shared" si="21"/>
        <v>0</v>
      </c>
      <c r="Q96" s="91">
        <f t="shared" si="21"/>
        <v>0</v>
      </c>
      <c r="R96" s="91">
        <f t="shared" si="21"/>
        <v>0</v>
      </c>
      <c r="S96" s="91">
        <f t="shared" si="21"/>
        <v>0</v>
      </c>
      <c r="T96" s="91">
        <f t="shared" si="21"/>
        <v>-1</v>
      </c>
      <c r="U96" s="91">
        <f t="shared" si="21"/>
        <v>-294</v>
      </c>
      <c r="V96" s="91">
        <f t="shared" si="21"/>
        <v>0</v>
      </c>
      <c r="W96" s="91">
        <f t="shared" si="21"/>
        <v>0</v>
      </c>
      <c r="X96" s="91">
        <f t="shared" si="21"/>
        <v>0</v>
      </c>
      <c r="Y96" s="91">
        <f t="shared" si="21"/>
        <v>0</v>
      </c>
      <c r="Z96" s="91">
        <f t="shared" si="21"/>
        <v>0</v>
      </c>
      <c r="AA96" s="91">
        <f t="shared" si="21"/>
        <v>0</v>
      </c>
      <c r="AB96" s="91">
        <f t="shared" si="21"/>
        <v>0</v>
      </c>
      <c r="AC96" s="91">
        <f t="shared" si="21"/>
        <v>0</v>
      </c>
      <c r="AD96" s="91">
        <f t="shared" si="21"/>
        <v>0</v>
      </c>
      <c r="AE96" s="91">
        <f t="shared" si="21"/>
        <v>0</v>
      </c>
      <c r="AF96" s="91">
        <f t="shared" si="21"/>
        <v>0</v>
      </c>
      <c r="AG96" s="91">
        <f t="shared" si="21"/>
        <v>-128</v>
      </c>
      <c r="AH96" s="91">
        <f t="shared" si="21"/>
        <v>0</v>
      </c>
      <c r="AI96" s="91">
        <f t="shared" si="21"/>
        <v>0</v>
      </c>
      <c r="AJ96" s="91">
        <f t="shared" si="21"/>
        <v>0</v>
      </c>
      <c r="AK96" s="91">
        <f t="shared" si="21"/>
        <v>0</v>
      </c>
      <c r="AL96" s="91">
        <f t="shared" si="21"/>
        <v>0</v>
      </c>
      <c r="AM96" s="91">
        <f t="shared" si="21"/>
        <v>0</v>
      </c>
      <c r="AN96" s="91">
        <f t="shared" si="21"/>
        <v>0</v>
      </c>
      <c r="AO96" s="91">
        <f t="shared" si="21"/>
        <v>0</v>
      </c>
      <c r="AP96" s="91">
        <f t="shared" si="21"/>
        <v>0</v>
      </c>
      <c r="AQ96" s="91">
        <f t="shared" si="21"/>
        <v>0</v>
      </c>
      <c r="AR96" s="91">
        <f t="shared" si="21"/>
        <v>0</v>
      </c>
      <c r="AS96" s="91">
        <f t="shared" si="21"/>
        <v>0</v>
      </c>
      <c r="AT96" s="91">
        <f t="shared" si="21"/>
        <v>0</v>
      </c>
      <c r="AU96" s="91">
        <f t="shared" si="21"/>
        <v>1</v>
      </c>
      <c r="AV96" s="91">
        <f t="shared" si="21"/>
        <v>0</v>
      </c>
      <c r="AW96" s="91">
        <f t="shared" si="21"/>
        <v>0</v>
      </c>
      <c r="AX96" s="91">
        <f t="shared" si="21"/>
        <v>0</v>
      </c>
      <c r="AY96" s="91">
        <f t="shared" si="21"/>
        <v>0</v>
      </c>
      <c r="AZ96" s="91">
        <f t="shared" si="21"/>
        <v>0</v>
      </c>
      <c r="BA96" s="91">
        <f t="shared" si="21"/>
        <v>0</v>
      </c>
      <c r="BB96" s="91">
        <f t="shared" si="21"/>
        <v>1</v>
      </c>
      <c r="BC96" s="91">
        <f t="shared" si="21"/>
        <v>1</v>
      </c>
      <c r="BD96" s="91">
        <f t="shared" si="21"/>
        <v>0</v>
      </c>
      <c r="BE96" s="91">
        <f t="shared" si="21"/>
        <v>0</v>
      </c>
      <c r="BF96" s="91">
        <f t="shared" si="21"/>
        <v>0</v>
      </c>
      <c r="BG96" s="91" t="e">
        <f t="shared" si="21"/>
        <v>#VALUE!</v>
      </c>
      <c r="BH96" s="91">
        <f t="shared" si="21"/>
        <v>0</v>
      </c>
      <c r="BI96" s="91">
        <f t="shared" si="21"/>
        <v>0</v>
      </c>
      <c r="BJ96" s="91">
        <f t="shared" si="21"/>
        <v>0</v>
      </c>
      <c r="BK96" s="91">
        <f t="shared" si="21"/>
        <v>0</v>
      </c>
      <c r="BL96" s="68">
        <f t="shared" si="18"/>
        <v>0</v>
      </c>
      <c r="BM96" s="68" t="e">
        <f t="shared" si="19"/>
        <v>#VALUE!</v>
      </c>
    </row>
    <row r="97" spans="1:65" s="7" customFormat="1" x14ac:dyDescent="0.25">
      <c r="A97" s="10" t="s">
        <v>290</v>
      </c>
      <c r="B97" s="10">
        <f t="shared" ref="B97:BK97" si="22">B108-B86-B75-B64-B53-B42-B31-B20-B9</f>
        <v>-1</v>
      </c>
      <c r="C97" s="10">
        <f t="shared" si="22"/>
        <v>0</v>
      </c>
      <c r="D97" s="10">
        <f t="shared" si="22"/>
        <v>5</v>
      </c>
      <c r="E97" s="10">
        <f t="shared" si="22"/>
        <v>11578</v>
      </c>
      <c r="F97" s="10">
        <f t="shared" si="22"/>
        <v>0</v>
      </c>
      <c r="G97" s="10">
        <f t="shared" si="22"/>
        <v>0</v>
      </c>
      <c r="H97" s="10">
        <f t="shared" si="22"/>
        <v>2492</v>
      </c>
      <c r="I97" s="10">
        <f t="shared" si="22"/>
        <v>9528</v>
      </c>
      <c r="J97" s="10">
        <f t="shared" si="22"/>
        <v>444</v>
      </c>
      <c r="K97" s="10">
        <f t="shared" si="22"/>
        <v>1100</v>
      </c>
      <c r="L97" s="10">
        <f t="shared" si="22"/>
        <v>361</v>
      </c>
      <c r="M97" s="10">
        <f t="shared" si="22"/>
        <v>1170</v>
      </c>
      <c r="N97" s="10">
        <f t="shared" si="22"/>
        <v>709.05</v>
      </c>
      <c r="O97" s="10">
        <f t="shared" si="22"/>
        <v>1345.85</v>
      </c>
      <c r="P97" s="10">
        <f t="shared" si="22"/>
        <v>28.459999999999859</v>
      </c>
      <c r="Q97" s="10">
        <f t="shared" si="22"/>
        <v>70.949999999999477</v>
      </c>
      <c r="R97" s="10">
        <f t="shared" si="22"/>
        <v>991.55999999999926</v>
      </c>
      <c r="S97" s="10">
        <f t="shared" si="22"/>
        <v>4043.4599999999964</v>
      </c>
      <c r="T97" s="10">
        <f t="shared" si="22"/>
        <v>2148</v>
      </c>
      <c r="U97" s="10">
        <f t="shared" si="22"/>
        <v>-13768</v>
      </c>
      <c r="V97" s="10">
        <f t="shared" si="22"/>
        <v>1418</v>
      </c>
      <c r="W97" s="10">
        <f t="shared" si="22"/>
        <v>6486</v>
      </c>
      <c r="X97" s="10">
        <f t="shared" si="22"/>
        <v>2414</v>
      </c>
      <c r="Y97" s="10">
        <f t="shared" si="22"/>
        <v>9712</v>
      </c>
      <c r="Z97" s="10">
        <f t="shared" si="22"/>
        <v>3033</v>
      </c>
      <c r="AA97" s="10">
        <f t="shared" si="22"/>
        <v>11993</v>
      </c>
      <c r="AB97" s="10">
        <f t="shared" si="22"/>
        <v>56.490000000000222</v>
      </c>
      <c r="AC97" s="10">
        <f t="shared" si="22"/>
        <v>135.31999999999982</v>
      </c>
      <c r="AD97" s="10">
        <f t="shared" si="22"/>
        <v>211</v>
      </c>
      <c r="AE97" s="10">
        <f t="shared" si="22"/>
        <v>1722</v>
      </c>
      <c r="AF97" s="10">
        <f t="shared" si="22"/>
        <v>285</v>
      </c>
      <c r="AG97" s="10">
        <f t="shared" si="22"/>
        <v>-7693</v>
      </c>
      <c r="AH97" s="10">
        <f t="shared" si="22"/>
        <v>2.6499999999996362</v>
      </c>
      <c r="AI97" s="10">
        <f t="shared" si="22"/>
        <v>14.510000000000218</v>
      </c>
      <c r="AJ97" s="10">
        <f t="shared" si="22"/>
        <v>2</v>
      </c>
      <c r="AK97" s="10">
        <f t="shared" si="22"/>
        <v>3</v>
      </c>
      <c r="AL97" s="10">
        <f t="shared" si="22"/>
        <v>1657</v>
      </c>
      <c r="AM97" s="10">
        <f t="shared" si="22"/>
        <v>5581</v>
      </c>
      <c r="AN97" s="10">
        <f t="shared" si="22"/>
        <v>0</v>
      </c>
      <c r="AO97" s="10">
        <f t="shared" si="22"/>
        <v>0</v>
      </c>
      <c r="AP97" s="10">
        <f t="shared" si="22"/>
        <v>304</v>
      </c>
      <c r="AQ97" s="10">
        <f t="shared" si="22"/>
        <v>-2466</v>
      </c>
      <c r="AR97" s="10">
        <f t="shared" si="22"/>
        <v>388</v>
      </c>
      <c r="AS97" s="10">
        <f t="shared" si="22"/>
        <v>6548</v>
      </c>
      <c r="AT97" s="10">
        <f t="shared" si="22"/>
        <v>121</v>
      </c>
      <c r="AU97" s="10">
        <f t="shared" si="22"/>
        <v>309</v>
      </c>
      <c r="AV97" s="10">
        <f t="shared" si="22"/>
        <v>818</v>
      </c>
      <c r="AW97" s="10">
        <f t="shared" si="22"/>
        <v>3343</v>
      </c>
      <c r="AX97" s="10">
        <f t="shared" si="22"/>
        <v>36</v>
      </c>
      <c r="AY97" s="10">
        <f t="shared" si="22"/>
        <v>107</v>
      </c>
      <c r="AZ97" s="10">
        <f t="shared" si="22"/>
        <v>1</v>
      </c>
      <c r="BA97" s="10">
        <f t="shared" si="22"/>
        <v>3</v>
      </c>
      <c r="BB97" s="10">
        <f t="shared" si="22"/>
        <v>1836</v>
      </c>
      <c r="BC97" s="10">
        <f t="shared" si="22"/>
        <v>7507</v>
      </c>
      <c r="BD97" s="10">
        <f t="shared" si="22"/>
        <v>7047</v>
      </c>
      <c r="BE97" s="10">
        <f t="shared" si="22"/>
        <v>25529</v>
      </c>
      <c r="BF97" s="10">
        <f t="shared" si="22"/>
        <v>2136</v>
      </c>
      <c r="BG97" s="10">
        <f t="shared" si="22"/>
        <v>8134</v>
      </c>
      <c r="BH97" s="10">
        <f t="shared" si="22"/>
        <v>3240</v>
      </c>
      <c r="BI97" s="10">
        <f t="shared" si="22"/>
        <v>12722</v>
      </c>
      <c r="BJ97" s="10">
        <f t="shared" si="22"/>
        <v>189</v>
      </c>
      <c r="BK97" s="10">
        <f t="shared" si="22"/>
        <v>621</v>
      </c>
      <c r="BL97" s="63">
        <f t="shared" si="18"/>
        <v>32373.21</v>
      </c>
      <c r="BM97" s="63">
        <f t="shared" si="19"/>
        <v>105379.09</v>
      </c>
    </row>
    <row r="98" spans="1:65" x14ac:dyDescent="0.25">
      <c r="A98" s="24" t="s">
        <v>291</v>
      </c>
      <c r="B98" s="9">
        <f t="shared" ref="B98:AE98" si="23">B109-B87-B76-B65-B54-B43-B32-B21-B10</f>
        <v>0</v>
      </c>
      <c r="C98" s="9">
        <f t="shared" si="23"/>
        <v>0</v>
      </c>
      <c r="D98" s="9">
        <f t="shared" si="23"/>
        <v>0</v>
      </c>
      <c r="E98" s="9">
        <f t="shared" si="23"/>
        <v>0</v>
      </c>
      <c r="F98" s="9">
        <f t="shared" si="23"/>
        <v>0</v>
      </c>
      <c r="G98" s="9">
        <f t="shared" si="23"/>
        <v>0</v>
      </c>
      <c r="H98" s="9">
        <f t="shared" si="23"/>
        <v>12</v>
      </c>
      <c r="I98" s="9">
        <f t="shared" si="23"/>
        <v>26</v>
      </c>
      <c r="J98" s="9">
        <f t="shared" si="23"/>
        <v>0</v>
      </c>
      <c r="K98" s="9">
        <f t="shared" si="23"/>
        <v>0</v>
      </c>
      <c r="L98" s="9">
        <f t="shared" si="23"/>
        <v>1</v>
      </c>
      <c r="M98" s="9">
        <f t="shared" si="23"/>
        <v>1</v>
      </c>
      <c r="N98" s="9">
        <f t="shared" si="23"/>
        <v>0</v>
      </c>
      <c r="O98" s="9">
        <f t="shared" si="23"/>
        <v>0</v>
      </c>
      <c r="P98" s="9">
        <f t="shared" si="23"/>
        <v>1.0400000000000027</v>
      </c>
      <c r="Q98" s="9">
        <f t="shared" si="23"/>
        <v>1.0400000000000063</v>
      </c>
      <c r="R98" s="9">
        <f t="shared" si="23"/>
        <v>1.240000000000002</v>
      </c>
      <c r="S98" s="9">
        <f t="shared" si="23"/>
        <v>38.769999999999982</v>
      </c>
      <c r="T98" s="9">
        <f t="shared" si="23"/>
        <v>3</v>
      </c>
      <c r="U98" s="9">
        <f t="shared" si="23"/>
        <v>-4258</v>
      </c>
      <c r="V98" s="9">
        <f t="shared" si="23"/>
        <v>55</v>
      </c>
      <c r="W98" s="9">
        <f t="shared" si="23"/>
        <v>400</v>
      </c>
      <c r="X98" s="9">
        <f t="shared" si="23"/>
        <v>20</v>
      </c>
      <c r="Y98" s="9">
        <f t="shared" si="23"/>
        <v>249</v>
      </c>
      <c r="Z98" s="9">
        <f t="shared" si="23"/>
        <v>8</v>
      </c>
      <c r="AA98" s="9">
        <f t="shared" si="23"/>
        <v>144</v>
      </c>
      <c r="AB98" s="9">
        <f t="shared" si="23"/>
        <v>0.30999999999999872</v>
      </c>
      <c r="AC98" s="9">
        <f t="shared" si="23"/>
        <v>2.1200000000000045</v>
      </c>
      <c r="AD98" s="9">
        <f t="shared" si="23"/>
        <v>4</v>
      </c>
      <c r="AE98" s="9">
        <f t="shared" si="23"/>
        <v>74</v>
      </c>
      <c r="AF98" s="9">
        <f t="shared" ref="AF98:BK98" si="24">AF109-AF87-AF76-AF65-AF54-AF43-AF32-AF21-AF10</f>
        <v>2</v>
      </c>
      <c r="AG98" s="9">
        <f t="shared" si="24"/>
        <v>-412</v>
      </c>
      <c r="AH98" s="9">
        <f t="shared" si="24"/>
        <v>0</v>
      </c>
      <c r="AI98" s="9">
        <f t="shared" si="24"/>
        <v>0</v>
      </c>
      <c r="AJ98" s="9">
        <f t="shared" si="24"/>
        <v>0</v>
      </c>
      <c r="AK98" s="9">
        <f t="shared" si="24"/>
        <v>0</v>
      </c>
      <c r="AL98" s="9">
        <f t="shared" si="24"/>
        <v>91</v>
      </c>
      <c r="AM98" s="9">
        <f t="shared" si="24"/>
        <v>161</v>
      </c>
      <c r="AN98" s="9">
        <f t="shared" si="24"/>
        <v>0</v>
      </c>
      <c r="AO98" s="9">
        <f t="shared" si="24"/>
        <v>0</v>
      </c>
      <c r="AP98" s="9">
        <f t="shared" si="24"/>
        <v>17</v>
      </c>
      <c r="AQ98" s="9">
        <f t="shared" si="24"/>
        <v>-82</v>
      </c>
      <c r="AR98" s="9">
        <f t="shared" si="24"/>
        <v>22</v>
      </c>
      <c r="AS98" s="9">
        <f t="shared" si="24"/>
        <v>63</v>
      </c>
      <c r="AT98" s="9">
        <f t="shared" si="24"/>
        <v>3</v>
      </c>
      <c r="AU98" s="9">
        <f t="shared" si="24"/>
        <v>2</v>
      </c>
      <c r="AV98" s="9">
        <f t="shared" si="24"/>
        <v>30</v>
      </c>
      <c r="AW98" s="9">
        <f t="shared" si="24"/>
        <v>112</v>
      </c>
      <c r="AX98" s="9">
        <f t="shared" si="24"/>
        <v>2</v>
      </c>
      <c r="AY98" s="9">
        <f t="shared" si="24"/>
        <v>2</v>
      </c>
      <c r="AZ98" s="9">
        <f t="shared" si="24"/>
        <v>0</v>
      </c>
      <c r="BA98" s="9">
        <f t="shared" si="24"/>
        <v>0</v>
      </c>
      <c r="BB98" s="9">
        <f t="shared" si="24"/>
        <v>112</v>
      </c>
      <c r="BC98" s="9">
        <f t="shared" si="24"/>
        <v>795</v>
      </c>
      <c r="BD98" s="9">
        <f t="shared" si="24"/>
        <v>51</v>
      </c>
      <c r="BE98" s="9">
        <f t="shared" si="24"/>
        <v>132</v>
      </c>
      <c r="BF98" s="9">
        <f t="shared" si="24"/>
        <v>33</v>
      </c>
      <c r="BG98" s="9">
        <f t="shared" si="24"/>
        <v>101</v>
      </c>
      <c r="BH98" s="9">
        <f t="shared" si="24"/>
        <v>32</v>
      </c>
      <c r="BI98" s="9">
        <f t="shared" si="24"/>
        <v>756</v>
      </c>
      <c r="BJ98" s="9">
        <f t="shared" si="24"/>
        <v>0</v>
      </c>
      <c r="BK98" s="9">
        <f t="shared" si="24"/>
        <v>0</v>
      </c>
      <c r="BL98" s="68">
        <f t="shared" si="18"/>
        <v>500.59000000000003</v>
      </c>
      <c r="BM98" s="68">
        <f t="shared" si="19"/>
        <v>-1692.0699999999997</v>
      </c>
    </row>
    <row r="99" spans="1:65" x14ac:dyDescent="0.25">
      <c r="A99" s="24" t="s">
        <v>292</v>
      </c>
      <c r="B99" s="9">
        <f t="shared" ref="B99:AE99" si="25">B110-B88-B77-B66-B55-B44-B33-B22-B11</f>
        <v>35</v>
      </c>
      <c r="C99" s="9">
        <f t="shared" si="25"/>
        <v>117</v>
      </c>
      <c r="D99" s="9">
        <f t="shared" si="25"/>
        <v>2</v>
      </c>
      <c r="E99" s="9">
        <f t="shared" si="25"/>
        <v>12191</v>
      </c>
      <c r="F99" s="9">
        <f t="shared" si="25"/>
        <v>0</v>
      </c>
      <c r="G99" s="9">
        <f t="shared" si="25"/>
        <v>0</v>
      </c>
      <c r="H99" s="9">
        <f t="shared" si="25"/>
        <v>-3209</v>
      </c>
      <c r="I99" s="9">
        <f t="shared" si="25"/>
        <v>-11766</v>
      </c>
      <c r="J99" s="9">
        <f t="shared" si="25"/>
        <v>135</v>
      </c>
      <c r="K99" s="9">
        <f t="shared" si="25"/>
        <v>401</v>
      </c>
      <c r="L99" s="9">
        <f t="shared" si="25"/>
        <v>84</v>
      </c>
      <c r="M99" s="9">
        <f t="shared" si="25"/>
        <v>242</v>
      </c>
      <c r="N99" s="9">
        <f t="shared" si="25"/>
        <v>2357.86</v>
      </c>
      <c r="O99" s="9">
        <f t="shared" si="25"/>
        <v>4483.6899999999996</v>
      </c>
      <c r="P99" s="9">
        <f t="shared" si="25"/>
        <v>1.5599999999999312</v>
      </c>
      <c r="Q99" s="9">
        <f t="shared" si="25"/>
        <v>8.0500000000001251</v>
      </c>
      <c r="R99" s="9">
        <f t="shared" si="25"/>
        <v>510.82000000000016</v>
      </c>
      <c r="S99" s="9">
        <f t="shared" si="25"/>
        <v>6185.22</v>
      </c>
      <c r="T99" s="9">
        <f t="shared" si="25"/>
        <v>-1619</v>
      </c>
      <c r="U99" s="9">
        <f t="shared" si="25"/>
        <v>8995</v>
      </c>
      <c r="V99" s="9">
        <f t="shared" si="25"/>
        <v>-1196</v>
      </c>
      <c r="W99" s="9">
        <f t="shared" si="25"/>
        <v>-6897</v>
      </c>
      <c r="X99" s="9">
        <f t="shared" si="25"/>
        <v>1739</v>
      </c>
      <c r="Y99" s="9">
        <f t="shared" si="25"/>
        <v>5854</v>
      </c>
      <c r="Z99" s="9">
        <f t="shared" si="25"/>
        <v>790</v>
      </c>
      <c r="AA99" s="9">
        <f t="shared" si="25"/>
        <v>2977</v>
      </c>
      <c r="AB99" s="9">
        <f t="shared" si="25"/>
        <v>156.54000000000008</v>
      </c>
      <c r="AC99" s="9">
        <f t="shared" si="25"/>
        <v>269.09000000000026</v>
      </c>
      <c r="AD99" s="9">
        <f t="shared" si="25"/>
        <v>225</v>
      </c>
      <c r="AE99" s="9">
        <f t="shared" si="25"/>
        <v>1438</v>
      </c>
      <c r="AF99" s="9">
        <f t="shared" ref="AF99:BK99" si="26">AF110-AF88-AF77-AF66-AF55-AF44-AF33-AF22-AF11</f>
        <v>-472</v>
      </c>
      <c r="AG99" s="9">
        <f t="shared" si="26"/>
        <v>9498</v>
      </c>
      <c r="AH99" s="9">
        <f t="shared" si="26"/>
        <v>0.24000000000000909</v>
      </c>
      <c r="AI99" s="9">
        <f t="shared" si="26"/>
        <v>1.7899999999999636</v>
      </c>
      <c r="AJ99" s="9">
        <f t="shared" si="26"/>
        <v>3</v>
      </c>
      <c r="AK99" s="9">
        <f t="shared" si="26"/>
        <v>3</v>
      </c>
      <c r="AL99" s="9">
        <f t="shared" si="26"/>
        <v>135</v>
      </c>
      <c r="AM99" s="9">
        <f t="shared" si="26"/>
        <v>603</v>
      </c>
      <c r="AN99" s="9">
        <f t="shared" si="26"/>
        <v>-1</v>
      </c>
      <c r="AO99" s="9">
        <f t="shared" si="26"/>
        <v>-1</v>
      </c>
      <c r="AP99" s="9">
        <f t="shared" si="26"/>
        <v>41</v>
      </c>
      <c r="AQ99" s="9">
        <f t="shared" si="26"/>
        <v>-429</v>
      </c>
      <c r="AR99" s="9">
        <f t="shared" si="26"/>
        <v>106</v>
      </c>
      <c r="AS99" s="9">
        <f t="shared" si="26"/>
        <v>312</v>
      </c>
      <c r="AT99" s="9">
        <f t="shared" si="26"/>
        <v>34</v>
      </c>
      <c r="AU99" s="9">
        <f t="shared" si="26"/>
        <v>418</v>
      </c>
      <c r="AV99" s="9">
        <f t="shared" si="26"/>
        <v>601</v>
      </c>
      <c r="AW99" s="9">
        <f t="shared" si="26"/>
        <v>3001</v>
      </c>
      <c r="AX99" s="9">
        <f t="shared" si="26"/>
        <v>22</v>
      </c>
      <c r="AY99" s="9">
        <f t="shared" si="26"/>
        <v>75</v>
      </c>
      <c r="AZ99" s="9">
        <f t="shared" si="26"/>
        <v>15</v>
      </c>
      <c r="BA99" s="9">
        <f t="shared" si="26"/>
        <v>16</v>
      </c>
      <c r="BB99" s="9">
        <f t="shared" si="26"/>
        <v>2997</v>
      </c>
      <c r="BC99" s="9">
        <f t="shared" si="26"/>
        <v>12382</v>
      </c>
      <c r="BD99" s="9">
        <f t="shared" si="26"/>
        <v>3718</v>
      </c>
      <c r="BE99" s="9">
        <f t="shared" si="26"/>
        <v>8766</v>
      </c>
      <c r="BF99" s="9">
        <f t="shared" si="26"/>
        <v>-25</v>
      </c>
      <c r="BG99" s="9">
        <f t="shared" si="26"/>
        <v>511</v>
      </c>
      <c r="BH99" s="9">
        <f t="shared" si="26"/>
        <v>620</v>
      </c>
      <c r="BI99" s="9">
        <f t="shared" si="26"/>
        <v>2316</v>
      </c>
      <c r="BJ99" s="9">
        <f t="shared" si="26"/>
        <v>96</v>
      </c>
      <c r="BK99" s="9">
        <f t="shared" si="26"/>
        <v>202</v>
      </c>
      <c r="BL99" s="68">
        <f t="shared" si="18"/>
        <v>7903.02</v>
      </c>
      <c r="BM99" s="68">
        <f t="shared" si="19"/>
        <v>62172.840000000004</v>
      </c>
    </row>
    <row r="100" spans="1:65" s="7" customFormat="1" x14ac:dyDescent="0.25">
      <c r="A100" s="10" t="s">
        <v>190</v>
      </c>
      <c r="B100" s="10">
        <f>B111-B89-B78-B67-B56-B45-B34-B23-B12</f>
        <v>-36</v>
      </c>
      <c r="C100" s="10">
        <f t="shared" ref="C100:AE100" si="27">C111-C89-C78-C67-C56-C45-C34-C23-C12</f>
        <v>-117</v>
      </c>
      <c r="D100" s="10">
        <f t="shared" si="27"/>
        <v>3</v>
      </c>
      <c r="E100" s="10">
        <f t="shared" si="27"/>
        <v>-614</v>
      </c>
      <c r="F100" s="10">
        <f t="shared" si="27"/>
        <v>0</v>
      </c>
      <c r="G100" s="10">
        <f t="shared" si="27"/>
        <v>0</v>
      </c>
      <c r="H100" s="10">
        <f t="shared" si="27"/>
        <v>-705</v>
      </c>
      <c r="I100" s="10">
        <f t="shared" si="27"/>
        <v>-2213</v>
      </c>
      <c r="J100" s="10">
        <f t="shared" si="27"/>
        <v>309</v>
      </c>
      <c r="K100" s="10">
        <f t="shared" si="27"/>
        <v>699</v>
      </c>
      <c r="L100" s="10">
        <f t="shared" si="27"/>
        <v>306</v>
      </c>
      <c r="M100" s="10">
        <f t="shared" si="27"/>
        <v>928</v>
      </c>
      <c r="N100" s="10">
        <f t="shared" si="27"/>
        <v>-1648.81</v>
      </c>
      <c r="O100" s="10">
        <f t="shared" si="27"/>
        <v>-3137.84</v>
      </c>
      <c r="P100" s="10">
        <f t="shared" si="27"/>
        <v>27.940000000000005</v>
      </c>
      <c r="Q100" s="10">
        <f t="shared" si="27"/>
        <v>63.939999999999984</v>
      </c>
      <c r="R100" s="10">
        <f t="shared" si="27"/>
        <v>481.97000000000025</v>
      </c>
      <c r="S100" s="10">
        <f t="shared" si="27"/>
        <v>-2102.9800000000005</v>
      </c>
      <c r="T100" s="10">
        <f t="shared" si="27"/>
        <v>531</v>
      </c>
      <c r="U100" s="10">
        <f t="shared" si="27"/>
        <v>-9030</v>
      </c>
      <c r="V100" s="10">
        <f t="shared" si="27"/>
        <v>278</v>
      </c>
      <c r="W100" s="10">
        <f t="shared" si="27"/>
        <v>-12</v>
      </c>
      <c r="X100" s="10">
        <f t="shared" si="27"/>
        <v>695</v>
      </c>
      <c r="Y100" s="10">
        <f t="shared" si="27"/>
        <v>4107</v>
      </c>
      <c r="Z100" s="10">
        <f t="shared" si="27"/>
        <v>2251</v>
      </c>
      <c r="AA100" s="10">
        <f t="shared" si="27"/>
        <v>9160</v>
      </c>
      <c r="AB100" s="10">
        <f t="shared" si="27"/>
        <v>-99.739999999999895</v>
      </c>
      <c r="AC100" s="10">
        <f t="shared" si="27"/>
        <v>-131.6500000000002</v>
      </c>
      <c r="AD100" s="10">
        <f t="shared" si="27"/>
        <v>-11</v>
      </c>
      <c r="AE100" s="10">
        <f t="shared" si="27"/>
        <v>356</v>
      </c>
      <c r="AF100" s="10">
        <f t="shared" ref="AF100:BK100" si="28">AF111-AF89-AF78-AF67-AF56-AF45-AF34-AF23-AF12</f>
        <v>-184</v>
      </c>
      <c r="AG100" s="10">
        <f t="shared" si="28"/>
        <v>1395</v>
      </c>
      <c r="AH100" s="10">
        <f t="shared" si="28"/>
        <v>2.4000000000000909</v>
      </c>
      <c r="AI100" s="10">
        <f t="shared" si="28"/>
        <v>12.729999999999563</v>
      </c>
      <c r="AJ100" s="10">
        <f t="shared" si="28"/>
        <v>-1</v>
      </c>
      <c r="AK100" s="10">
        <f t="shared" si="28"/>
        <v>0</v>
      </c>
      <c r="AL100" s="10">
        <f t="shared" si="28"/>
        <v>1613</v>
      </c>
      <c r="AM100" s="10">
        <f t="shared" si="28"/>
        <v>5137</v>
      </c>
      <c r="AN100" s="10">
        <f t="shared" si="28"/>
        <v>-1</v>
      </c>
      <c r="AO100" s="10">
        <f t="shared" si="28"/>
        <v>-2</v>
      </c>
      <c r="AP100" s="10">
        <f t="shared" si="28"/>
        <v>278</v>
      </c>
      <c r="AQ100" s="10">
        <f t="shared" si="28"/>
        <v>-2122</v>
      </c>
      <c r="AR100" s="10">
        <f t="shared" si="28"/>
        <v>404</v>
      </c>
      <c r="AS100" s="10">
        <f t="shared" si="28"/>
        <v>1299</v>
      </c>
      <c r="AT100" s="10">
        <f t="shared" si="28"/>
        <v>90</v>
      </c>
      <c r="AU100" s="10">
        <f t="shared" si="28"/>
        <v>-106</v>
      </c>
      <c r="AV100" s="10">
        <f t="shared" si="28"/>
        <v>245</v>
      </c>
      <c r="AW100" s="10">
        <f t="shared" si="28"/>
        <v>455</v>
      </c>
      <c r="AX100" s="10">
        <f t="shared" si="28"/>
        <v>18</v>
      </c>
      <c r="AY100" s="10">
        <f t="shared" si="28"/>
        <v>33</v>
      </c>
      <c r="AZ100" s="10">
        <f t="shared" si="28"/>
        <v>-14</v>
      </c>
      <c r="BA100" s="10">
        <f t="shared" si="28"/>
        <v>-13</v>
      </c>
      <c r="BB100" s="10">
        <f t="shared" si="28"/>
        <v>-1051</v>
      </c>
      <c r="BC100" s="10">
        <f t="shared" si="28"/>
        <v>-4079</v>
      </c>
      <c r="BD100" s="10">
        <f t="shared" si="28"/>
        <v>3380</v>
      </c>
      <c r="BE100" s="10">
        <f t="shared" si="28"/>
        <v>16896</v>
      </c>
      <c r="BF100" s="10">
        <f t="shared" si="28"/>
        <v>2195</v>
      </c>
      <c r="BG100" s="10">
        <f t="shared" si="28"/>
        <v>7720</v>
      </c>
      <c r="BH100" s="10">
        <f t="shared" si="28"/>
        <v>2654</v>
      </c>
      <c r="BI100" s="10">
        <f t="shared" si="28"/>
        <v>11162</v>
      </c>
      <c r="BJ100" s="10">
        <f t="shared" si="28"/>
        <v>94</v>
      </c>
      <c r="BK100" s="10">
        <f t="shared" si="28"/>
        <v>420</v>
      </c>
      <c r="BL100" s="63">
        <f t="shared" si="18"/>
        <v>12104.76</v>
      </c>
      <c r="BM100" s="63">
        <f t="shared" si="19"/>
        <v>36163.199999999997</v>
      </c>
    </row>
    <row r="101" spans="1:65" x14ac:dyDescent="0.25">
      <c r="A101" s="22"/>
    </row>
    <row r="102" spans="1:65" x14ac:dyDescent="0.25">
      <c r="A102" s="23" t="s">
        <v>40</v>
      </c>
    </row>
    <row r="103" spans="1:65" x14ac:dyDescent="0.25">
      <c r="A103" s="3" t="s">
        <v>0</v>
      </c>
      <c r="B103" s="154" t="s">
        <v>1</v>
      </c>
      <c r="C103" s="155"/>
      <c r="D103" s="154" t="s">
        <v>234</v>
      </c>
      <c r="E103" s="155"/>
      <c r="F103" s="154" t="s">
        <v>2</v>
      </c>
      <c r="G103" s="155"/>
      <c r="H103" s="154" t="s">
        <v>3</v>
      </c>
      <c r="I103" s="155"/>
      <c r="J103" s="154" t="s">
        <v>243</v>
      </c>
      <c r="K103" s="155"/>
      <c r="L103" s="154" t="s">
        <v>235</v>
      </c>
      <c r="M103" s="155"/>
      <c r="N103" s="154" t="s">
        <v>5</v>
      </c>
      <c r="O103" s="155"/>
      <c r="P103" s="154" t="s">
        <v>4</v>
      </c>
      <c r="Q103" s="155"/>
      <c r="R103" s="154" t="s">
        <v>6</v>
      </c>
      <c r="S103" s="155"/>
      <c r="T103" s="154" t="s">
        <v>246</v>
      </c>
      <c r="U103" s="155"/>
      <c r="V103" s="154" t="s">
        <v>7</v>
      </c>
      <c r="W103" s="155"/>
      <c r="X103" s="154" t="s">
        <v>8</v>
      </c>
      <c r="Y103" s="155"/>
      <c r="Z103" s="154" t="s">
        <v>9</v>
      </c>
      <c r="AA103" s="155"/>
      <c r="AB103" s="154" t="s">
        <v>242</v>
      </c>
      <c r="AC103" s="155"/>
      <c r="AD103" s="154" t="s">
        <v>10</v>
      </c>
      <c r="AE103" s="155"/>
      <c r="AF103" s="154" t="s">
        <v>11</v>
      </c>
      <c r="AG103" s="155"/>
      <c r="AH103" s="154" t="s">
        <v>236</v>
      </c>
      <c r="AI103" s="155"/>
      <c r="AJ103" s="154" t="s">
        <v>245</v>
      </c>
      <c r="AK103" s="155"/>
      <c r="AL103" s="154" t="s">
        <v>12</v>
      </c>
      <c r="AM103" s="155"/>
      <c r="AN103" s="154" t="s">
        <v>237</v>
      </c>
      <c r="AO103" s="155"/>
      <c r="AP103" s="154" t="s">
        <v>238</v>
      </c>
      <c r="AQ103" s="155"/>
      <c r="AR103" s="154" t="s">
        <v>241</v>
      </c>
      <c r="AS103" s="155"/>
      <c r="AT103" s="154" t="s">
        <v>13</v>
      </c>
      <c r="AU103" s="155"/>
      <c r="AV103" s="154" t="s">
        <v>14</v>
      </c>
      <c r="AW103" s="155"/>
      <c r="AX103" s="154" t="s">
        <v>15</v>
      </c>
      <c r="AY103" s="155"/>
      <c r="AZ103" s="154" t="s">
        <v>16</v>
      </c>
      <c r="BA103" s="155"/>
      <c r="BB103" s="154" t="s">
        <v>17</v>
      </c>
      <c r="BC103" s="155"/>
      <c r="BD103" s="154" t="s">
        <v>239</v>
      </c>
      <c r="BE103" s="155"/>
      <c r="BF103" s="154" t="s">
        <v>240</v>
      </c>
      <c r="BG103" s="155"/>
      <c r="BH103" s="154" t="s">
        <v>18</v>
      </c>
      <c r="BI103" s="155"/>
      <c r="BJ103" s="154" t="s">
        <v>19</v>
      </c>
      <c r="BK103" s="155"/>
      <c r="BL103" s="156" t="s">
        <v>20</v>
      </c>
      <c r="BM103" s="157"/>
    </row>
    <row r="104" spans="1:65" ht="30" x14ac:dyDescent="0.25">
      <c r="A104" s="3"/>
      <c r="B104" s="53" t="s">
        <v>300</v>
      </c>
      <c r="C104" s="54" t="s">
        <v>301</v>
      </c>
      <c r="D104" s="53" t="s">
        <v>300</v>
      </c>
      <c r="E104" s="54" t="s">
        <v>301</v>
      </c>
      <c r="F104" s="53" t="s">
        <v>300</v>
      </c>
      <c r="G104" s="54" t="s">
        <v>301</v>
      </c>
      <c r="H104" s="53" t="s">
        <v>300</v>
      </c>
      <c r="I104" s="54" t="s">
        <v>301</v>
      </c>
      <c r="J104" s="53" t="s">
        <v>300</v>
      </c>
      <c r="K104" s="54" t="s">
        <v>301</v>
      </c>
      <c r="L104" s="53" t="s">
        <v>300</v>
      </c>
      <c r="M104" s="54" t="s">
        <v>301</v>
      </c>
      <c r="N104" s="53" t="s">
        <v>300</v>
      </c>
      <c r="O104" s="54" t="s">
        <v>301</v>
      </c>
      <c r="P104" s="53" t="s">
        <v>300</v>
      </c>
      <c r="Q104" s="54" t="s">
        <v>301</v>
      </c>
      <c r="R104" s="53" t="s">
        <v>300</v>
      </c>
      <c r="S104" s="54" t="s">
        <v>301</v>
      </c>
      <c r="T104" s="53" t="s">
        <v>300</v>
      </c>
      <c r="U104" s="54" t="s">
        <v>301</v>
      </c>
      <c r="V104" s="53" t="s">
        <v>300</v>
      </c>
      <c r="W104" s="54" t="s">
        <v>301</v>
      </c>
      <c r="X104" s="53" t="s">
        <v>300</v>
      </c>
      <c r="Y104" s="54" t="s">
        <v>301</v>
      </c>
      <c r="Z104" s="53" t="s">
        <v>300</v>
      </c>
      <c r="AA104" s="54" t="s">
        <v>301</v>
      </c>
      <c r="AB104" s="53" t="s">
        <v>300</v>
      </c>
      <c r="AC104" s="54" t="s">
        <v>301</v>
      </c>
      <c r="AD104" s="53" t="s">
        <v>300</v>
      </c>
      <c r="AE104" s="54" t="s">
        <v>301</v>
      </c>
      <c r="AF104" s="53" t="s">
        <v>300</v>
      </c>
      <c r="AG104" s="54" t="s">
        <v>301</v>
      </c>
      <c r="AH104" s="53" t="s">
        <v>300</v>
      </c>
      <c r="AI104" s="54" t="s">
        <v>301</v>
      </c>
      <c r="AJ104" s="53" t="s">
        <v>300</v>
      </c>
      <c r="AK104" s="54" t="s">
        <v>301</v>
      </c>
      <c r="AL104" s="53" t="s">
        <v>300</v>
      </c>
      <c r="AM104" s="54" t="s">
        <v>301</v>
      </c>
      <c r="AN104" s="53" t="s">
        <v>300</v>
      </c>
      <c r="AO104" s="54" t="s">
        <v>301</v>
      </c>
      <c r="AP104" s="53" t="s">
        <v>300</v>
      </c>
      <c r="AQ104" s="54" t="s">
        <v>301</v>
      </c>
      <c r="AR104" s="53" t="s">
        <v>300</v>
      </c>
      <c r="AS104" s="54" t="s">
        <v>301</v>
      </c>
      <c r="AT104" s="53" t="s">
        <v>300</v>
      </c>
      <c r="AU104" s="54" t="s">
        <v>301</v>
      </c>
      <c r="AV104" s="53" t="s">
        <v>300</v>
      </c>
      <c r="AW104" s="54" t="s">
        <v>301</v>
      </c>
      <c r="AX104" s="53" t="s">
        <v>300</v>
      </c>
      <c r="AY104" s="54" t="s">
        <v>301</v>
      </c>
      <c r="AZ104" s="53" t="s">
        <v>300</v>
      </c>
      <c r="BA104" s="54" t="s">
        <v>301</v>
      </c>
      <c r="BB104" s="53" t="s">
        <v>300</v>
      </c>
      <c r="BC104" s="54" t="s">
        <v>301</v>
      </c>
      <c r="BD104" s="53" t="s">
        <v>300</v>
      </c>
      <c r="BE104" s="54" t="s">
        <v>301</v>
      </c>
      <c r="BF104" s="53" t="s">
        <v>300</v>
      </c>
      <c r="BG104" s="54" t="s">
        <v>301</v>
      </c>
      <c r="BH104" s="53" t="s">
        <v>300</v>
      </c>
      <c r="BI104" s="54" t="s">
        <v>301</v>
      </c>
      <c r="BJ104" s="53" t="s">
        <v>300</v>
      </c>
      <c r="BK104" s="54" t="s">
        <v>301</v>
      </c>
      <c r="BL104" s="104" t="s">
        <v>300</v>
      </c>
      <c r="BM104" s="105" t="s">
        <v>301</v>
      </c>
    </row>
    <row r="105" spans="1:65" x14ac:dyDescent="0.25">
      <c r="A105" s="24" t="s">
        <v>287</v>
      </c>
      <c r="B105" s="91">
        <v>530</v>
      </c>
      <c r="C105" s="91">
        <v>1985</v>
      </c>
      <c r="D105" s="91">
        <v>5932</v>
      </c>
      <c r="E105" s="91">
        <v>18968</v>
      </c>
      <c r="F105" s="91">
        <v>3907</v>
      </c>
      <c r="G105" s="91">
        <v>7704</v>
      </c>
      <c r="H105" s="91">
        <v>20420</v>
      </c>
      <c r="I105" s="91">
        <v>74061</v>
      </c>
      <c r="J105" s="91">
        <v>13649</v>
      </c>
      <c r="K105" s="91">
        <v>41047</v>
      </c>
      <c r="L105" s="91">
        <v>12092</v>
      </c>
      <c r="M105" s="91">
        <v>43929</v>
      </c>
      <c r="N105" s="91">
        <v>709.05</v>
      </c>
      <c r="O105" s="91">
        <v>1345.85</v>
      </c>
      <c r="P105" s="91">
        <v>535.05999999999995</v>
      </c>
      <c r="Q105" s="91">
        <v>2285.29</v>
      </c>
      <c r="R105" s="91">
        <v>5497.9</v>
      </c>
      <c r="S105" s="91">
        <v>22334.720000000001</v>
      </c>
      <c r="T105" s="91">
        <v>6080</v>
      </c>
      <c r="U105" s="91">
        <v>6080</v>
      </c>
      <c r="V105" s="91">
        <v>29191</v>
      </c>
      <c r="W105" s="91">
        <v>99967</v>
      </c>
      <c r="X105" s="91">
        <v>32839</v>
      </c>
      <c r="Y105" s="91">
        <v>119759</v>
      </c>
      <c r="Z105" s="91">
        <v>14344</v>
      </c>
      <c r="AA105" s="91">
        <v>57382</v>
      </c>
      <c r="AB105" s="91">
        <v>1787.86</v>
      </c>
      <c r="AC105" s="91">
        <v>5323.72</v>
      </c>
      <c r="AD105" s="91">
        <v>3454</v>
      </c>
      <c r="AE105" s="91">
        <v>12057</v>
      </c>
      <c r="AF105" s="69">
        <v>3274</v>
      </c>
      <c r="AG105" s="24">
        <v>3274</v>
      </c>
      <c r="AH105" s="91">
        <v>3001.23</v>
      </c>
      <c r="AI105" s="91">
        <v>9807.9</v>
      </c>
      <c r="AJ105" s="91">
        <v>9252</v>
      </c>
      <c r="AK105" s="91">
        <v>28597</v>
      </c>
      <c r="AL105" s="76"/>
      <c r="AM105" s="76"/>
      <c r="AN105" s="91">
        <v>335</v>
      </c>
      <c r="AO105" s="91">
        <v>731</v>
      </c>
      <c r="AP105" s="91">
        <v>728</v>
      </c>
      <c r="AQ105" s="91">
        <v>728</v>
      </c>
      <c r="AR105" s="76">
        <v>11109</v>
      </c>
      <c r="AS105" s="76">
        <v>43460</v>
      </c>
      <c r="AT105" s="91">
        <v>6156</v>
      </c>
      <c r="AU105" s="91">
        <v>23704</v>
      </c>
      <c r="AV105" s="91">
        <v>18461</v>
      </c>
      <c r="AW105" s="91">
        <v>58047</v>
      </c>
      <c r="AX105" s="91">
        <v>2248</v>
      </c>
      <c r="AY105" s="91">
        <v>8470</v>
      </c>
      <c r="AZ105" s="91">
        <v>47789</v>
      </c>
      <c r="BA105" s="91">
        <v>142961</v>
      </c>
      <c r="BB105" s="91">
        <v>20122</v>
      </c>
      <c r="BC105" s="91">
        <v>69730</v>
      </c>
      <c r="BD105" s="76"/>
      <c r="BE105" s="76"/>
      <c r="BF105" s="91">
        <v>21778</v>
      </c>
      <c r="BG105" s="91">
        <v>81975</v>
      </c>
      <c r="BH105" s="9"/>
      <c r="BI105" s="9"/>
      <c r="BJ105" s="91">
        <v>5016</v>
      </c>
      <c r="BK105" s="91">
        <v>19223</v>
      </c>
      <c r="BL105" s="68">
        <f t="shared" ref="BL105:BL111" si="29">SUM(B105+D105+F105+H105+J105+L105+N105+P105+R105+T105+V105+X105+Z105+AB105+AD105+AF105+AH105+AJ105+AL105+AN105+AP105+AR105+AT105+AV105+AX105+AZ105+BB105+BD105+BF105+BH105+BJ105)</f>
        <v>300237.09999999998</v>
      </c>
      <c r="BM105" s="68">
        <f t="shared" ref="BM105:BM111" si="30">SUM(C105+E105+G105+I105+K105+M105+O105+Q105+S105+U105+W105+Y105+AA105+AC105+AE105+AG105+AI105+AK105+AM105+AO105+AQ105+AS105+AU105+AW105+AY105+BA105+BC105+BE105+BG105+BI105+BK105)</f>
        <v>1004936.48</v>
      </c>
    </row>
    <row r="106" spans="1:65" s="71" customFormat="1" x14ac:dyDescent="0.25">
      <c r="A106" s="24" t="s">
        <v>288</v>
      </c>
      <c r="B106" s="91">
        <v>44</v>
      </c>
      <c r="C106" s="91">
        <v>157</v>
      </c>
      <c r="D106" s="91">
        <v>573</v>
      </c>
      <c r="E106" s="91">
        <v>1851</v>
      </c>
      <c r="F106" s="91">
        <v>0</v>
      </c>
      <c r="G106" s="91">
        <v>0</v>
      </c>
      <c r="H106" s="91">
        <v>4094</v>
      </c>
      <c r="I106" s="91">
        <v>11328</v>
      </c>
      <c r="J106" s="91">
        <v>1571</v>
      </c>
      <c r="K106" s="91">
        <v>7939</v>
      </c>
      <c r="L106" s="91">
        <v>1486</v>
      </c>
      <c r="M106" s="91">
        <v>5864</v>
      </c>
      <c r="N106" s="91"/>
      <c r="O106" s="91"/>
      <c r="P106" s="91">
        <v>123.24</v>
      </c>
      <c r="Q106" s="91">
        <v>432.93</v>
      </c>
      <c r="R106" s="91">
        <v>1869.02</v>
      </c>
      <c r="S106" s="91">
        <v>3461.17</v>
      </c>
      <c r="T106" s="91">
        <v>1683</v>
      </c>
      <c r="U106" s="91">
        <v>1683</v>
      </c>
      <c r="V106" s="91">
        <v>5102</v>
      </c>
      <c r="W106" s="91">
        <v>13421</v>
      </c>
      <c r="X106" s="91">
        <v>5732</v>
      </c>
      <c r="Y106" s="91">
        <v>23120</v>
      </c>
      <c r="Z106" s="91">
        <v>3337</v>
      </c>
      <c r="AA106" s="91">
        <v>10458</v>
      </c>
      <c r="AB106" s="91">
        <v>345.98</v>
      </c>
      <c r="AC106" s="91">
        <v>958.3</v>
      </c>
      <c r="AD106" s="91">
        <v>764</v>
      </c>
      <c r="AE106" s="91">
        <v>2900</v>
      </c>
      <c r="AF106" s="69">
        <v>776</v>
      </c>
      <c r="AG106" s="24">
        <v>776</v>
      </c>
      <c r="AH106" s="91">
        <v>517.24</v>
      </c>
      <c r="AI106" s="91">
        <v>1191.0899999999999</v>
      </c>
      <c r="AJ106" s="91">
        <v>1352</v>
      </c>
      <c r="AK106" s="91">
        <v>5053</v>
      </c>
      <c r="AL106" s="91"/>
      <c r="AM106" s="91"/>
      <c r="AN106" s="91">
        <v>7</v>
      </c>
      <c r="AO106" s="91">
        <v>19</v>
      </c>
      <c r="AP106" s="91">
        <v>680</v>
      </c>
      <c r="AQ106" s="91">
        <v>680</v>
      </c>
      <c r="AR106" s="91">
        <v>1985</v>
      </c>
      <c r="AS106" s="91">
        <v>7765</v>
      </c>
      <c r="AT106" s="91">
        <v>1782</v>
      </c>
      <c r="AU106" s="91">
        <v>5761</v>
      </c>
      <c r="AV106" s="91">
        <v>2533</v>
      </c>
      <c r="AW106" s="91">
        <v>8323</v>
      </c>
      <c r="AX106" s="91">
        <v>361</v>
      </c>
      <c r="AY106" s="91">
        <v>1189</v>
      </c>
      <c r="AZ106" s="91">
        <v>8861</v>
      </c>
      <c r="BA106" s="91">
        <v>18455</v>
      </c>
      <c r="BB106" s="91">
        <v>3486</v>
      </c>
      <c r="BC106" s="91">
        <v>12564</v>
      </c>
      <c r="BD106" s="91"/>
      <c r="BE106" s="91"/>
      <c r="BF106" s="91">
        <v>6349</v>
      </c>
      <c r="BG106" s="91">
        <v>17816</v>
      </c>
      <c r="BH106" s="91"/>
      <c r="BI106" s="91"/>
      <c r="BJ106" s="91">
        <v>879</v>
      </c>
      <c r="BK106" s="91">
        <v>3836</v>
      </c>
      <c r="BL106" s="68">
        <f t="shared" si="29"/>
        <v>56292.480000000003</v>
      </c>
      <c r="BM106" s="68">
        <f t="shared" si="30"/>
        <v>167001.49</v>
      </c>
    </row>
    <row r="107" spans="1:65" s="71" customFormat="1" x14ac:dyDescent="0.25">
      <c r="A107" s="24" t="s">
        <v>289</v>
      </c>
      <c r="B107" s="91"/>
      <c r="C107" s="91"/>
      <c r="D107" s="91"/>
      <c r="E107" s="91"/>
      <c r="F107" s="91">
        <v>0</v>
      </c>
      <c r="G107" s="91">
        <v>0</v>
      </c>
      <c r="H107" s="91">
        <v>351</v>
      </c>
      <c r="I107" s="91">
        <v>1291</v>
      </c>
      <c r="J107" s="91"/>
      <c r="K107" s="91"/>
      <c r="L107" s="91">
        <v>24</v>
      </c>
      <c r="M107" s="91">
        <v>160</v>
      </c>
      <c r="N107" s="91"/>
      <c r="O107" s="91"/>
      <c r="P107" s="91"/>
      <c r="Q107" s="91"/>
      <c r="R107" s="91">
        <v>87.64</v>
      </c>
      <c r="S107" s="91">
        <v>329.66</v>
      </c>
      <c r="T107" s="91">
        <v>123</v>
      </c>
      <c r="U107" s="91">
        <v>123</v>
      </c>
      <c r="V107" s="91">
        <v>313</v>
      </c>
      <c r="W107" s="91">
        <v>1092</v>
      </c>
      <c r="X107" s="91">
        <v>523</v>
      </c>
      <c r="Y107" s="91">
        <v>4365</v>
      </c>
      <c r="Z107" s="91">
        <v>307</v>
      </c>
      <c r="AA107" s="91">
        <v>1300</v>
      </c>
      <c r="AB107" s="91"/>
      <c r="AC107" s="91"/>
      <c r="AD107" s="91">
        <v>102</v>
      </c>
      <c r="AE107" s="91">
        <v>429</v>
      </c>
      <c r="AF107" s="69">
        <v>47</v>
      </c>
      <c r="AG107" s="24">
        <v>47</v>
      </c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>
        <v>203</v>
      </c>
      <c r="AS107" s="91">
        <v>837</v>
      </c>
      <c r="AT107" s="91">
        <v>32</v>
      </c>
      <c r="AU107" s="91">
        <v>144</v>
      </c>
      <c r="AV107" s="91">
        <v>0</v>
      </c>
      <c r="AW107" s="91">
        <v>7</v>
      </c>
      <c r="AX107" s="91">
        <v>19</v>
      </c>
      <c r="AY107" s="91">
        <v>61</v>
      </c>
      <c r="AZ107" s="91"/>
      <c r="BA107" s="91"/>
      <c r="BB107" s="91">
        <v>2848</v>
      </c>
      <c r="BC107" s="91">
        <v>9676</v>
      </c>
      <c r="BD107" s="91"/>
      <c r="BE107" s="91"/>
      <c r="BF107" s="91">
        <v>955</v>
      </c>
      <c r="BG107" s="91">
        <v>2793</v>
      </c>
      <c r="BH107" s="91"/>
      <c r="BI107" s="91"/>
      <c r="BJ107" s="91"/>
      <c r="BK107" s="91"/>
      <c r="BL107" s="68">
        <f t="shared" si="29"/>
        <v>5934.6399999999994</v>
      </c>
      <c r="BM107" s="68">
        <f t="shared" si="30"/>
        <v>22654.66</v>
      </c>
    </row>
    <row r="108" spans="1:65" s="7" customFormat="1" x14ac:dyDescent="0.25">
      <c r="A108" s="10" t="s">
        <v>290</v>
      </c>
      <c r="B108" s="10">
        <v>574</v>
      </c>
      <c r="C108" s="10">
        <v>2142</v>
      </c>
      <c r="D108" s="10">
        <v>6505</v>
      </c>
      <c r="E108" s="10">
        <v>20819</v>
      </c>
      <c r="F108" s="10">
        <v>3907</v>
      </c>
      <c r="G108" s="10">
        <v>7704</v>
      </c>
      <c r="H108" s="10">
        <v>24865</v>
      </c>
      <c r="I108" s="10">
        <v>86680</v>
      </c>
      <c r="J108" s="10">
        <v>15220</v>
      </c>
      <c r="K108" s="10">
        <v>48986</v>
      </c>
      <c r="L108" s="10">
        <v>13603</v>
      </c>
      <c r="M108" s="10">
        <v>49953</v>
      </c>
      <c r="N108" s="10">
        <v>709.05</v>
      </c>
      <c r="O108" s="10">
        <v>1345.85</v>
      </c>
      <c r="P108" s="10">
        <v>658.3</v>
      </c>
      <c r="Q108" s="10">
        <v>2718.22</v>
      </c>
      <c r="R108" s="10">
        <v>7454.56</v>
      </c>
      <c r="S108" s="10">
        <v>26125.55</v>
      </c>
      <c r="T108" s="10">
        <v>7886</v>
      </c>
      <c r="U108" s="10">
        <v>7886</v>
      </c>
      <c r="V108" s="10">
        <v>34606</v>
      </c>
      <c r="W108" s="10">
        <v>114480</v>
      </c>
      <c r="X108" s="10">
        <v>39094</v>
      </c>
      <c r="Y108" s="10">
        <v>147243</v>
      </c>
      <c r="Z108" s="10">
        <v>17988</v>
      </c>
      <c r="AA108" s="10">
        <v>69140</v>
      </c>
      <c r="AB108" s="10">
        <v>2133.84</v>
      </c>
      <c r="AC108" s="10">
        <v>6282.02</v>
      </c>
      <c r="AD108" s="10">
        <v>4321</v>
      </c>
      <c r="AE108" s="10">
        <v>15386</v>
      </c>
      <c r="AF108" s="10">
        <v>4097</v>
      </c>
      <c r="AG108" s="10">
        <v>4097</v>
      </c>
      <c r="AH108" s="10">
        <v>3518.47</v>
      </c>
      <c r="AI108" s="10">
        <v>10998.99</v>
      </c>
      <c r="AJ108" s="10">
        <v>10604</v>
      </c>
      <c r="AK108" s="10">
        <v>33650</v>
      </c>
      <c r="AL108" s="10">
        <v>27733</v>
      </c>
      <c r="AM108" s="10">
        <v>94757</v>
      </c>
      <c r="AN108" s="10">
        <v>343</v>
      </c>
      <c r="AO108" s="10">
        <v>749</v>
      </c>
      <c r="AP108" s="10">
        <v>1408</v>
      </c>
      <c r="AQ108" s="10">
        <v>1408</v>
      </c>
      <c r="AR108" s="10">
        <v>13297</v>
      </c>
      <c r="AS108" s="10">
        <v>52062</v>
      </c>
      <c r="AT108" s="10">
        <v>7970</v>
      </c>
      <c r="AU108" s="10">
        <v>29609</v>
      </c>
      <c r="AV108" s="10">
        <v>20994</v>
      </c>
      <c r="AW108" s="10">
        <v>66378</v>
      </c>
      <c r="AX108" s="10">
        <v>2628</v>
      </c>
      <c r="AY108" s="10">
        <v>9721</v>
      </c>
      <c r="AZ108" s="10">
        <v>56650</v>
      </c>
      <c r="BA108" s="10">
        <v>161416</v>
      </c>
      <c r="BB108" s="10">
        <v>26456</v>
      </c>
      <c r="BC108" s="10">
        <v>91969</v>
      </c>
      <c r="BD108" s="10">
        <v>80816</v>
      </c>
      <c r="BE108" s="10">
        <v>271541</v>
      </c>
      <c r="BF108" s="10">
        <v>29082</v>
      </c>
      <c r="BG108" s="10">
        <v>102584</v>
      </c>
      <c r="BH108" s="10">
        <v>31613</v>
      </c>
      <c r="BI108" s="10">
        <v>105724</v>
      </c>
      <c r="BJ108" s="10">
        <v>5895</v>
      </c>
      <c r="BK108" s="10">
        <v>23059</v>
      </c>
      <c r="BL108" s="63">
        <f t="shared" si="29"/>
        <v>502629.22</v>
      </c>
      <c r="BM108" s="63">
        <f t="shared" si="30"/>
        <v>1666613.63</v>
      </c>
    </row>
    <row r="109" spans="1:65" x14ac:dyDescent="0.25">
      <c r="A109" s="24" t="s">
        <v>291</v>
      </c>
      <c r="B109" s="91"/>
      <c r="C109" s="91"/>
      <c r="D109" s="91"/>
      <c r="E109" s="91"/>
      <c r="F109" s="91">
        <v>0</v>
      </c>
      <c r="G109" s="91">
        <v>0</v>
      </c>
      <c r="H109" s="91">
        <v>397</v>
      </c>
      <c r="I109" s="91">
        <v>1205</v>
      </c>
      <c r="J109" s="91">
        <v>23</v>
      </c>
      <c r="K109" s="91">
        <v>-348</v>
      </c>
      <c r="L109" s="91">
        <v>23</v>
      </c>
      <c r="M109" s="91">
        <v>69</v>
      </c>
      <c r="N109" s="91"/>
      <c r="O109" s="91"/>
      <c r="P109" s="91">
        <v>34.46</v>
      </c>
      <c r="Q109" s="91">
        <v>148.97</v>
      </c>
      <c r="R109" s="91">
        <v>41.22</v>
      </c>
      <c r="S109" s="91">
        <v>599.39</v>
      </c>
      <c r="T109" s="91">
        <v>1056</v>
      </c>
      <c r="U109" s="91">
        <v>1056</v>
      </c>
      <c r="V109" s="91">
        <v>284</v>
      </c>
      <c r="W109" s="91">
        <v>2086</v>
      </c>
      <c r="X109" s="91">
        <v>2682</v>
      </c>
      <c r="Y109" s="91">
        <v>6109</v>
      </c>
      <c r="Z109" s="91">
        <v>400</v>
      </c>
      <c r="AA109" s="91">
        <v>1584</v>
      </c>
      <c r="AB109" s="91">
        <v>23.68</v>
      </c>
      <c r="AC109" s="91">
        <v>81.41</v>
      </c>
      <c r="AD109" s="91">
        <v>25</v>
      </c>
      <c r="AE109" s="91">
        <v>100</v>
      </c>
      <c r="AF109" s="69">
        <v>70</v>
      </c>
      <c r="AG109" s="24">
        <v>70</v>
      </c>
      <c r="AH109" s="91"/>
      <c r="AI109" s="91"/>
      <c r="AJ109" s="91"/>
      <c r="AK109" s="91"/>
      <c r="AL109" s="91">
        <v>2369</v>
      </c>
      <c r="AM109" s="91">
        <v>6084</v>
      </c>
      <c r="AN109" s="91">
        <v>5</v>
      </c>
      <c r="AO109" s="91">
        <v>16</v>
      </c>
      <c r="AP109" s="91">
        <v>36</v>
      </c>
      <c r="AQ109" s="91">
        <v>36</v>
      </c>
      <c r="AR109" s="76">
        <v>217</v>
      </c>
      <c r="AS109" s="76">
        <v>706</v>
      </c>
      <c r="AT109" s="91">
        <v>211</v>
      </c>
      <c r="AU109" s="91">
        <v>1036</v>
      </c>
      <c r="AV109" s="91">
        <v>275</v>
      </c>
      <c r="AW109" s="91">
        <v>557</v>
      </c>
      <c r="AX109" s="91">
        <v>49</v>
      </c>
      <c r="AY109" s="91">
        <v>159</v>
      </c>
      <c r="AZ109" s="91"/>
      <c r="BA109" s="91"/>
      <c r="BB109" s="91">
        <v>1419</v>
      </c>
      <c r="BC109" s="91">
        <v>4005</v>
      </c>
      <c r="BD109" s="91">
        <v>7048</v>
      </c>
      <c r="BE109" s="91">
        <v>24593</v>
      </c>
      <c r="BF109" s="91">
        <v>1702</v>
      </c>
      <c r="BG109" s="91">
        <v>6688</v>
      </c>
      <c r="BH109" s="91">
        <v>1678</v>
      </c>
      <c r="BI109" s="91">
        <v>4689</v>
      </c>
      <c r="BJ109" s="91">
        <v>190</v>
      </c>
      <c r="BK109" s="91">
        <v>244</v>
      </c>
      <c r="BL109" s="68">
        <f t="shared" si="29"/>
        <v>20258.36</v>
      </c>
      <c r="BM109" s="68">
        <f t="shared" si="30"/>
        <v>61573.770000000004</v>
      </c>
    </row>
    <row r="110" spans="1:65" x14ac:dyDescent="0.25">
      <c r="A110" s="24" t="s">
        <v>292</v>
      </c>
      <c r="B110" s="91">
        <v>2365</v>
      </c>
      <c r="C110" s="91">
        <v>5767</v>
      </c>
      <c r="D110" s="91">
        <v>6583</v>
      </c>
      <c r="E110" s="91">
        <v>18912</v>
      </c>
      <c r="F110" s="91">
        <v>9496</v>
      </c>
      <c r="G110" s="91">
        <v>28030</v>
      </c>
      <c r="H110" s="91">
        <v>-24262</v>
      </c>
      <c r="I110" s="91">
        <v>-97310</v>
      </c>
      <c r="J110" s="91">
        <v>10800</v>
      </c>
      <c r="K110" s="91">
        <v>37621</v>
      </c>
      <c r="L110" s="91">
        <v>9899</v>
      </c>
      <c r="M110" s="91">
        <v>37814</v>
      </c>
      <c r="N110" s="91">
        <v>2357.86</v>
      </c>
      <c r="O110" s="91">
        <v>4483.6899999999996</v>
      </c>
      <c r="P110" s="91">
        <v>722.64</v>
      </c>
      <c r="Q110" s="91">
        <v>2458.3200000000002</v>
      </c>
      <c r="R110" s="91">
        <v>4554.4399999999996</v>
      </c>
      <c r="S110" s="91">
        <v>23145.78</v>
      </c>
      <c r="T110" s="91">
        <v>-4269</v>
      </c>
      <c r="U110" s="91">
        <v>-4269</v>
      </c>
      <c r="V110" s="91">
        <v>-39828</v>
      </c>
      <c r="W110" s="91">
        <v>-144271</v>
      </c>
      <c r="X110" s="91">
        <v>25767</v>
      </c>
      <c r="Y110" s="91">
        <v>89963</v>
      </c>
      <c r="Z110" s="91">
        <v>6963</v>
      </c>
      <c r="AA110" s="91">
        <v>33056</v>
      </c>
      <c r="AB110" s="91">
        <v>1433.46</v>
      </c>
      <c r="AC110" s="91">
        <v>4043.19</v>
      </c>
      <c r="AD110" s="91">
        <v>1480</v>
      </c>
      <c r="AE110" s="91">
        <v>3550</v>
      </c>
      <c r="AF110" s="69">
        <v>-4619</v>
      </c>
      <c r="AG110" s="24">
        <v>-4619</v>
      </c>
      <c r="AH110" s="91">
        <v>340.8</v>
      </c>
      <c r="AI110" s="91">
        <v>935.47</v>
      </c>
      <c r="AJ110" s="91">
        <v>3528</v>
      </c>
      <c r="AK110" s="91">
        <v>21608</v>
      </c>
      <c r="AL110" s="91">
        <v>8600</v>
      </c>
      <c r="AM110" s="91">
        <v>17661</v>
      </c>
      <c r="AN110" s="91">
        <v>-296</v>
      </c>
      <c r="AO110" s="91">
        <v>-388</v>
      </c>
      <c r="AP110" s="91">
        <v>210</v>
      </c>
      <c r="AQ110" s="91">
        <v>210</v>
      </c>
      <c r="AR110" s="76">
        <v>25861</v>
      </c>
      <c r="AS110" s="76">
        <v>67602</v>
      </c>
      <c r="AT110" s="91">
        <v>3438</v>
      </c>
      <c r="AU110" s="91">
        <v>15029</v>
      </c>
      <c r="AV110" s="91">
        <v>20899</v>
      </c>
      <c r="AW110" s="91">
        <v>77819</v>
      </c>
      <c r="AX110" s="91">
        <v>326</v>
      </c>
      <c r="AY110" s="91">
        <v>1166</v>
      </c>
      <c r="AZ110" s="91">
        <v>5927</v>
      </c>
      <c r="BA110" s="91">
        <v>12198</v>
      </c>
      <c r="BB110" s="91">
        <v>18432</v>
      </c>
      <c r="BC110" s="91">
        <v>72319</v>
      </c>
      <c r="BD110" s="91">
        <v>20577</v>
      </c>
      <c r="BE110" s="91">
        <v>66840</v>
      </c>
      <c r="BF110" s="91">
        <v>4685</v>
      </c>
      <c r="BG110" s="91">
        <v>16656</v>
      </c>
      <c r="BH110" s="91">
        <v>8740</v>
      </c>
      <c r="BI110" s="91">
        <v>20165</v>
      </c>
      <c r="BJ110" s="91">
        <v>4585</v>
      </c>
      <c r="BK110" s="91">
        <v>16610</v>
      </c>
      <c r="BL110" s="68">
        <f t="shared" si="29"/>
        <v>135296.20000000001</v>
      </c>
      <c r="BM110" s="68">
        <f t="shared" si="30"/>
        <v>444805.45</v>
      </c>
    </row>
    <row r="111" spans="1:65" s="7" customFormat="1" x14ac:dyDescent="0.25">
      <c r="A111" s="10" t="s">
        <v>190</v>
      </c>
      <c r="B111" s="10">
        <v>-1791</v>
      </c>
      <c r="C111" s="10">
        <v>-3625</v>
      </c>
      <c r="D111" s="10">
        <v>-77</v>
      </c>
      <c r="E111" s="10">
        <v>1907</v>
      </c>
      <c r="F111" s="10">
        <v>-5589</v>
      </c>
      <c r="G111" s="10">
        <v>-20326</v>
      </c>
      <c r="H111" s="10">
        <v>999</v>
      </c>
      <c r="I111" s="10">
        <v>-9425</v>
      </c>
      <c r="J111" s="10">
        <v>4443</v>
      </c>
      <c r="K111" s="10">
        <v>11017</v>
      </c>
      <c r="L111" s="10">
        <v>3753</v>
      </c>
      <c r="M111" s="10">
        <v>12209</v>
      </c>
      <c r="N111" s="10">
        <v>-1648.81</v>
      </c>
      <c r="O111" s="10">
        <v>-3137.84</v>
      </c>
      <c r="P111" s="10">
        <v>-29.88</v>
      </c>
      <c r="Q111" s="10">
        <v>408.87</v>
      </c>
      <c r="R111" s="10">
        <v>2941.34</v>
      </c>
      <c r="S111" s="10">
        <v>3579.16</v>
      </c>
      <c r="T111" s="10">
        <v>4673</v>
      </c>
      <c r="U111" s="10">
        <v>4673</v>
      </c>
      <c r="V111" s="10">
        <v>-4937</v>
      </c>
      <c r="W111" s="10">
        <v>-27705</v>
      </c>
      <c r="X111" s="10">
        <v>16009</v>
      </c>
      <c r="Y111" s="10">
        <v>63389</v>
      </c>
      <c r="Z111" s="10">
        <v>11425</v>
      </c>
      <c r="AA111" s="10">
        <v>37668</v>
      </c>
      <c r="AB111" s="10">
        <v>724.06</v>
      </c>
      <c r="AC111" s="10">
        <v>2320.2399999999998</v>
      </c>
      <c r="AD111" s="10">
        <v>2866</v>
      </c>
      <c r="AE111" s="10">
        <v>11936</v>
      </c>
      <c r="AF111" s="10">
        <v>-452</v>
      </c>
      <c r="AG111" s="10">
        <v>-452</v>
      </c>
      <c r="AH111" s="10">
        <v>3177.67</v>
      </c>
      <c r="AI111" s="10">
        <v>10063.52</v>
      </c>
      <c r="AJ111" s="10">
        <v>7076</v>
      </c>
      <c r="AK111" s="10">
        <v>12042</v>
      </c>
      <c r="AL111" s="10">
        <v>21502</v>
      </c>
      <c r="AM111" s="10">
        <v>83179</v>
      </c>
      <c r="AN111" s="10">
        <v>52</v>
      </c>
      <c r="AO111" s="10">
        <v>377</v>
      </c>
      <c r="AP111" s="10">
        <v>1233</v>
      </c>
      <c r="AQ111" s="10">
        <v>1233</v>
      </c>
      <c r="AR111" s="10">
        <v>-12347</v>
      </c>
      <c r="AS111" s="10">
        <v>-14833</v>
      </c>
      <c r="AT111" s="10">
        <v>4743</v>
      </c>
      <c r="AU111" s="10">
        <v>15617</v>
      </c>
      <c r="AV111" s="10">
        <v>370</v>
      </c>
      <c r="AW111" s="10">
        <v>-10885</v>
      </c>
      <c r="AX111" s="10">
        <v>2351</v>
      </c>
      <c r="AY111" s="10">
        <v>8714</v>
      </c>
      <c r="AZ111" s="10">
        <v>50723</v>
      </c>
      <c r="BA111" s="10">
        <v>149218</v>
      </c>
      <c r="BB111" s="10">
        <v>9443</v>
      </c>
      <c r="BC111" s="10">
        <v>23656</v>
      </c>
      <c r="BD111" s="10">
        <v>67287</v>
      </c>
      <c r="BE111" s="10">
        <v>229295</v>
      </c>
      <c r="BF111" s="10">
        <v>26100</v>
      </c>
      <c r="BG111" s="10">
        <v>92616</v>
      </c>
      <c r="BH111" s="10">
        <v>24551</v>
      </c>
      <c r="BI111" s="10">
        <v>90249</v>
      </c>
      <c r="BJ111" s="10">
        <v>1499</v>
      </c>
      <c r="BK111" s="10">
        <v>6693</v>
      </c>
      <c r="BL111" s="63">
        <f t="shared" si="29"/>
        <v>241069.38</v>
      </c>
      <c r="BM111" s="63">
        <f t="shared" si="30"/>
        <v>781670.95</v>
      </c>
    </row>
  </sheetData>
  <mergeCells count="320"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L37:BM37"/>
    <mergeCell ref="AD26:AE26"/>
    <mergeCell ref="AF26:AG26"/>
    <mergeCell ref="AT37:AU37"/>
    <mergeCell ref="AV37:AW37"/>
    <mergeCell ref="AX37:AY37"/>
    <mergeCell ref="AZ37:BA37"/>
    <mergeCell ref="BB37:BC37"/>
    <mergeCell ref="B26:C26"/>
    <mergeCell ref="D26:E26"/>
    <mergeCell ref="F26:G26"/>
    <mergeCell ref="H26:I26"/>
    <mergeCell ref="J26:K26"/>
    <mergeCell ref="BL26:BM26"/>
    <mergeCell ref="B37:C37"/>
    <mergeCell ref="D37:E37"/>
    <mergeCell ref="F37:G37"/>
    <mergeCell ref="H37:I37"/>
    <mergeCell ref="AT26:AU26"/>
    <mergeCell ref="AV26:AW26"/>
    <mergeCell ref="AX26:AY26"/>
    <mergeCell ref="AZ26:BA26"/>
    <mergeCell ref="BB26:BC26"/>
    <mergeCell ref="BD26:BE26"/>
    <mergeCell ref="BJ26:BK26"/>
    <mergeCell ref="B48:C48"/>
    <mergeCell ref="D48:E48"/>
    <mergeCell ref="F48:G48"/>
    <mergeCell ref="H48:I48"/>
    <mergeCell ref="J48:K48"/>
    <mergeCell ref="BD37:BE37"/>
    <mergeCell ref="BF37:BG37"/>
    <mergeCell ref="BH37:BI37"/>
    <mergeCell ref="AF37:AG37"/>
    <mergeCell ref="AH37:AI37"/>
    <mergeCell ref="AJ37:AK37"/>
    <mergeCell ref="AL37:AM37"/>
    <mergeCell ref="AN37:AO37"/>
    <mergeCell ref="AP37:AQ37"/>
    <mergeCell ref="V37:W37"/>
    <mergeCell ref="X37:Y37"/>
    <mergeCell ref="Z37:AA37"/>
    <mergeCell ref="AB37:AC37"/>
    <mergeCell ref="AD37:AE37"/>
    <mergeCell ref="J37:K37"/>
    <mergeCell ref="BJ37:BK37"/>
    <mergeCell ref="AH26:AI26"/>
    <mergeCell ref="AJ26:AK26"/>
    <mergeCell ref="AT48:AU48"/>
    <mergeCell ref="V48:W48"/>
    <mergeCell ref="X48:Y48"/>
    <mergeCell ref="Z48:AA48"/>
    <mergeCell ref="AD48:AE48"/>
    <mergeCell ref="AF48:AG48"/>
    <mergeCell ref="L48:M48"/>
    <mergeCell ref="N48:O48"/>
    <mergeCell ref="P48:Q48"/>
    <mergeCell ref="R48:S48"/>
    <mergeCell ref="AR48:AS48"/>
    <mergeCell ref="L37:M37"/>
    <mergeCell ref="N37:O37"/>
    <mergeCell ref="AB48:AC48"/>
    <mergeCell ref="AR37:AS37"/>
    <mergeCell ref="B59:C59"/>
    <mergeCell ref="D59:E59"/>
    <mergeCell ref="F59:G59"/>
    <mergeCell ref="H59:I59"/>
    <mergeCell ref="P37:Q37"/>
    <mergeCell ref="R37:S37"/>
    <mergeCell ref="T37:U37"/>
    <mergeCell ref="AV59:AW59"/>
    <mergeCell ref="AX59:AY59"/>
    <mergeCell ref="AZ59:BA59"/>
    <mergeCell ref="BB59:BC59"/>
    <mergeCell ref="P59:Q59"/>
    <mergeCell ref="R59:S59"/>
    <mergeCell ref="T59:U59"/>
    <mergeCell ref="BJ48:BK48"/>
    <mergeCell ref="BL48:BM48"/>
    <mergeCell ref="BD48:BE48"/>
    <mergeCell ref="BJ59:BK59"/>
    <mergeCell ref="BL59:BM59"/>
    <mergeCell ref="T48:U48"/>
    <mergeCell ref="BF48:BG48"/>
    <mergeCell ref="BH48:BI48"/>
    <mergeCell ref="AV48:AW48"/>
    <mergeCell ref="AX48:AY48"/>
    <mergeCell ref="AZ48:BA48"/>
    <mergeCell ref="BB48:BC48"/>
    <mergeCell ref="AH48:AI48"/>
    <mergeCell ref="AJ48:AK48"/>
    <mergeCell ref="AL48:AM48"/>
    <mergeCell ref="AN48:AO48"/>
    <mergeCell ref="AP48:AQ48"/>
    <mergeCell ref="D70:E70"/>
    <mergeCell ref="F70:G70"/>
    <mergeCell ref="H70:I70"/>
    <mergeCell ref="J70:K70"/>
    <mergeCell ref="BD59:BE59"/>
    <mergeCell ref="BF59:BG59"/>
    <mergeCell ref="BH59:BI59"/>
    <mergeCell ref="AF59:AG59"/>
    <mergeCell ref="AH59:AI59"/>
    <mergeCell ref="AJ59:AK59"/>
    <mergeCell ref="AL59:AM59"/>
    <mergeCell ref="AN59:AO59"/>
    <mergeCell ref="AP59:AQ59"/>
    <mergeCell ref="V59:W59"/>
    <mergeCell ref="X59:Y59"/>
    <mergeCell ref="Z59:AA59"/>
    <mergeCell ref="AB59:AC59"/>
    <mergeCell ref="AD59:AE59"/>
    <mergeCell ref="J59:K59"/>
    <mergeCell ref="L59:M59"/>
    <mergeCell ref="N59:O59"/>
    <mergeCell ref="AB70:AC70"/>
    <mergeCell ref="AR59:AS59"/>
    <mergeCell ref="AT59:AU59"/>
    <mergeCell ref="B81:C81"/>
    <mergeCell ref="D81:E81"/>
    <mergeCell ref="F81:G81"/>
    <mergeCell ref="H81:I81"/>
    <mergeCell ref="AT70:AU70"/>
    <mergeCell ref="AV70:AW70"/>
    <mergeCell ref="AX70:AY70"/>
    <mergeCell ref="AZ70:BA70"/>
    <mergeCell ref="AH70:AI70"/>
    <mergeCell ref="AJ70:AK70"/>
    <mergeCell ref="AL70:AM70"/>
    <mergeCell ref="AN70:AO70"/>
    <mergeCell ref="AP70:AQ70"/>
    <mergeCell ref="AR70:AS70"/>
    <mergeCell ref="V70:W70"/>
    <mergeCell ref="X70:Y70"/>
    <mergeCell ref="Z70:AA70"/>
    <mergeCell ref="AD70:AE70"/>
    <mergeCell ref="AF70:AG70"/>
    <mergeCell ref="L70:M70"/>
    <mergeCell ref="N70:O70"/>
    <mergeCell ref="P70:Q70"/>
    <mergeCell ref="R70:S70"/>
    <mergeCell ref="B70:C70"/>
    <mergeCell ref="AZ81:BA81"/>
    <mergeCell ref="BB81:BC81"/>
    <mergeCell ref="P81:Q81"/>
    <mergeCell ref="R81:S81"/>
    <mergeCell ref="T81:U81"/>
    <mergeCell ref="BJ70:BK70"/>
    <mergeCell ref="BL70:BM70"/>
    <mergeCell ref="BB70:BC70"/>
    <mergeCell ref="BD70:BE70"/>
    <mergeCell ref="BJ81:BK81"/>
    <mergeCell ref="BL81:BM81"/>
    <mergeCell ref="T70:U70"/>
    <mergeCell ref="BF70:BG70"/>
    <mergeCell ref="BH70:BI70"/>
    <mergeCell ref="F92:G92"/>
    <mergeCell ref="H92:I92"/>
    <mergeCell ref="J92:K92"/>
    <mergeCell ref="BD81:BE81"/>
    <mergeCell ref="BF81:BG81"/>
    <mergeCell ref="BH81:BI81"/>
    <mergeCell ref="AF81:AG81"/>
    <mergeCell ref="AH81:AI81"/>
    <mergeCell ref="AJ81:AK81"/>
    <mergeCell ref="AL81:AM81"/>
    <mergeCell ref="AN81:AO81"/>
    <mergeCell ref="AP81:AQ81"/>
    <mergeCell ref="V81:W81"/>
    <mergeCell ref="X81:Y81"/>
    <mergeCell ref="Z81:AA81"/>
    <mergeCell ref="AB81:AC81"/>
    <mergeCell ref="AD81:AE81"/>
    <mergeCell ref="J81:K81"/>
    <mergeCell ref="L81:M81"/>
    <mergeCell ref="N81:O81"/>
    <mergeCell ref="AR81:AS81"/>
    <mergeCell ref="AT81:AU81"/>
    <mergeCell ref="AV81:AW81"/>
    <mergeCell ref="AX81:AY81"/>
    <mergeCell ref="BL92:BM92"/>
    <mergeCell ref="B103:C103"/>
    <mergeCell ref="D103:E103"/>
    <mergeCell ref="F103:G103"/>
    <mergeCell ref="H103:I103"/>
    <mergeCell ref="AT92:AU92"/>
    <mergeCell ref="AV92:AW92"/>
    <mergeCell ref="AX92:AY92"/>
    <mergeCell ref="AZ92:BA92"/>
    <mergeCell ref="BB92:BC92"/>
    <mergeCell ref="BD92:BE92"/>
    <mergeCell ref="AH92:AI92"/>
    <mergeCell ref="AJ92:AK92"/>
    <mergeCell ref="AL92:AM92"/>
    <mergeCell ref="AN92:AO92"/>
    <mergeCell ref="AP92:AQ92"/>
    <mergeCell ref="AR92:AS92"/>
    <mergeCell ref="V92:W92"/>
    <mergeCell ref="X92:Y92"/>
    <mergeCell ref="Z92:AA92"/>
    <mergeCell ref="AB92:AC92"/>
    <mergeCell ref="AD92:AE92"/>
    <mergeCell ref="B92:C92"/>
    <mergeCell ref="D92:E92"/>
    <mergeCell ref="J103:K103"/>
    <mergeCell ref="L103:M103"/>
    <mergeCell ref="N103:O103"/>
    <mergeCell ref="P103:Q103"/>
    <mergeCell ref="R103:S103"/>
    <mergeCell ref="T103:U103"/>
    <mergeCell ref="BF92:BG92"/>
    <mergeCell ref="BH92:BI92"/>
    <mergeCell ref="BJ92:BK92"/>
    <mergeCell ref="AF92:AG92"/>
    <mergeCell ref="L92:M92"/>
    <mergeCell ref="N92:O92"/>
    <mergeCell ref="P92:Q92"/>
    <mergeCell ref="R92:S92"/>
    <mergeCell ref="T92:U92"/>
    <mergeCell ref="AF103:AG103"/>
    <mergeCell ref="AH103:AI103"/>
    <mergeCell ref="AJ103:AK103"/>
    <mergeCell ref="AL103:AM103"/>
    <mergeCell ref="AN103:AO103"/>
    <mergeCell ref="AP103:AQ103"/>
    <mergeCell ref="V103:W103"/>
    <mergeCell ref="BL103:BM103"/>
    <mergeCell ref="AR103:AS103"/>
    <mergeCell ref="AT103:AU103"/>
    <mergeCell ref="AV103:AW103"/>
    <mergeCell ref="AX103:AY103"/>
    <mergeCell ref="AZ103:BA103"/>
    <mergeCell ref="BB103:BC103"/>
    <mergeCell ref="X103:Y103"/>
    <mergeCell ref="Z103:AA103"/>
    <mergeCell ref="AB103:AC103"/>
    <mergeCell ref="AD103:AE103"/>
    <mergeCell ref="BD103:BE103"/>
    <mergeCell ref="BF103:BG103"/>
    <mergeCell ref="BH103:BI103"/>
    <mergeCell ref="BJ103:BK10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71" customWidth="1"/>
    <col min="2" max="31" width="16" style="71" customWidth="1"/>
    <col min="32" max="32" width="16" style="7" customWidth="1"/>
    <col min="33" max="65" width="16" style="71" customWidth="1"/>
    <col min="66" max="16384" width="9.140625" style="71"/>
  </cols>
  <sheetData>
    <row r="1" spans="1:65" ht="18.75" x14ac:dyDescent="0.3">
      <c r="A1" s="4" t="s">
        <v>169</v>
      </c>
    </row>
    <row r="2" spans="1:65" x14ac:dyDescent="0.25">
      <c r="A2" s="5" t="s">
        <v>98</v>
      </c>
    </row>
    <row r="3" spans="1:65" x14ac:dyDescent="0.25">
      <c r="A3" s="1" t="s">
        <v>0</v>
      </c>
      <c r="B3" s="154" t="s">
        <v>1</v>
      </c>
      <c r="C3" s="155"/>
      <c r="D3" s="154" t="s">
        <v>234</v>
      </c>
      <c r="E3" s="155"/>
      <c r="F3" s="154" t="s">
        <v>2</v>
      </c>
      <c r="G3" s="155"/>
      <c r="H3" s="154" t="s">
        <v>3</v>
      </c>
      <c r="I3" s="155"/>
      <c r="J3" s="154" t="s">
        <v>243</v>
      </c>
      <c r="K3" s="155"/>
      <c r="L3" s="154" t="s">
        <v>235</v>
      </c>
      <c r="M3" s="155"/>
      <c r="N3" s="154" t="s">
        <v>5</v>
      </c>
      <c r="O3" s="155"/>
      <c r="P3" s="154" t="s">
        <v>4</v>
      </c>
      <c r="Q3" s="155"/>
      <c r="R3" s="154" t="s">
        <v>6</v>
      </c>
      <c r="S3" s="155"/>
      <c r="T3" s="154" t="s">
        <v>246</v>
      </c>
      <c r="U3" s="155"/>
      <c r="V3" s="154" t="s">
        <v>7</v>
      </c>
      <c r="W3" s="155"/>
      <c r="X3" s="154" t="s">
        <v>8</v>
      </c>
      <c r="Y3" s="155"/>
      <c r="Z3" s="154" t="s">
        <v>9</v>
      </c>
      <c r="AA3" s="155"/>
      <c r="AB3" s="154" t="s">
        <v>242</v>
      </c>
      <c r="AC3" s="155"/>
      <c r="AD3" s="154" t="s">
        <v>10</v>
      </c>
      <c r="AE3" s="155"/>
      <c r="AF3" s="154" t="s">
        <v>11</v>
      </c>
      <c r="AG3" s="155"/>
      <c r="AH3" s="154" t="s">
        <v>236</v>
      </c>
      <c r="AI3" s="155"/>
      <c r="AJ3" s="154" t="s">
        <v>245</v>
      </c>
      <c r="AK3" s="155"/>
      <c r="AL3" s="154" t="s">
        <v>12</v>
      </c>
      <c r="AM3" s="155"/>
      <c r="AN3" s="154" t="s">
        <v>237</v>
      </c>
      <c r="AO3" s="155"/>
      <c r="AP3" s="154" t="s">
        <v>238</v>
      </c>
      <c r="AQ3" s="155"/>
      <c r="AR3" s="154" t="s">
        <v>241</v>
      </c>
      <c r="AS3" s="155"/>
      <c r="AT3" s="154" t="s">
        <v>13</v>
      </c>
      <c r="AU3" s="155"/>
      <c r="AV3" s="154" t="s">
        <v>14</v>
      </c>
      <c r="AW3" s="155"/>
      <c r="AX3" s="154" t="s">
        <v>15</v>
      </c>
      <c r="AY3" s="155"/>
      <c r="AZ3" s="154" t="s">
        <v>16</v>
      </c>
      <c r="BA3" s="155"/>
      <c r="BB3" s="154" t="s">
        <v>17</v>
      </c>
      <c r="BC3" s="155"/>
      <c r="BD3" s="154" t="s">
        <v>239</v>
      </c>
      <c r="BE3" s="155"/>
      <c r="BF3" s="154" t="s">
        <v>240</v>
      </c>
      <c r="BG3" s="155"/>
      <c r="BH3" s="154" t="s">
        <v>18</v>
      </c>
      <c r="BI3" s="155"/>
      <c r="BJ3" s="154" t="s">
        <v>19</v>
      </c>
      <c r="BK3" s="155"/>
      <c r="BL3" s="158" t="s">
        <v>20</v>
      </c>
      <c r="BM3" s="158"/>
    </row>
    <row r="4" spans="1:65" ht="30" x14ac:dyDescent="0.25">
      <c r="A4" s="1"/>
      <c r="B4" s="53" t="s">
        <v>300</v>
      </c>
      <c r="C4" s="54" t="s">
        <v>301</v>
      </c>
      <c r="D4" s="53" t="s">
        <v>300</v>
      </c>
      <c r="E4" s="54" t="s">
        <v>301</v>
      </c>
      <c r="F4" s="53" t="s">
        <v>300</v>
      </c>
      <c r="G4" s="54" t="s">
        <v>301</v>
      </c>
      <c r="H4" s="53" t="s">
        <v>300</v>
      </c>
      <c r="I4" s="54" t="s">
        <v>301</v>
      </c>
      <c r="J4" s="53" t="s">
        <v>300</v>
      </c>
      <c r="K4" s="54" t="s">
        <v>301</v>
      </c>
      <c r="L4" s="53" t="s">
        <v>300</v>
      </c>
      <c r="M4" s="54" t="s">
        <v>301</v>
      </c>
      <c r="N4" s="53" t="s">
        <v>300</v>
      </c>
      <c r="O4" s="54" t="s">
        <v>301</v>
      </c>
      <c r="P4" s="53" t="s">
        <v>300</v>
      </c>
      <c r="Q4" s="54" t="s">
        <v>301</v>
      </c>
      <c r="R4" s="53" t="s">
        <v>300</v>
      </c>
      <c r="S4" s="54" t="s">
        <v>301</v>
      </c>
      <c r="T4" s="53" t="s">
        <v>300</v>
      </c>
      <c r="U4" s="54" t="s">
        <v>301</v>
      </c>
      <c r="V4" s="53" t="s">
        <v>300</v>
      </c>
      <c r="W4" s="54" t="s">
        <v>301</v>
      </c>
      <c r="X4" s="53" t="s">
        <v>300</v>
      </c>
      <c r="Y4" s="54" t="s">
        <v>301</v>
      </c>
      <c r="Z4" s="53" t="s">
        <v>300</v>
      </c>
      <c r="AA4" s="54" t="s">
        <v>301</v>
      </c>
      <c r="AB4" s="53" t="s">
        <v>300</v>
      </c>
      <c r="AC4" s="54" t="s">
        <v>301</v>
      </c>
      <c r="AD4" s="53" t="s">
        <v>300</v>
      </c>
      <c r="AE4" s="54" t="s">
        <v>301</v>
      </c>
      <c r="AF4" s="53" t="s">
        <v>300</v>
      </c>
      <c r="AG4" s="54" t="s">
        <v>301</v>
      </c>
      <c r="AH4" s="53" t="s">
        <v>300</v>
      </c>
      <c r="AI4" s="54" t="s">
        <v>301</v>
      </c>
      <c r="AJ4" s="53" t="s">
        <v>300</v>
      </c>
      <c r="AK4" s="54" t="s">
        <v>301</v>
      </c>
      <c r="AL4" s="53" t="s">
        <v>300</v>
      </c>
      <c r="AM4" s="54" t="s">
        <v>301</v>
      </c>
      <c r="AN4" s="53" t="s">
        <v>300</v>
      </c>
      <c r="AO4" s="54" t="s">
        <v>301</v>
      </c>
      <c r="AP4" s="53" t="s">
        <v>300</v>
      </c>
      <c r="AQ4" s="54" t="s">
        <v>301</v>
      </c>
      <c r="AR4" s="53" t="s">
        <v>300</v>
      </c>
      <c r="AS4" s="54" t="s">
        <v>301</v>
      </c>
      <c r="AT4" s="53" t="s">
        <v>300</v>
      </c>
      <c r="AU4" s="54" t="s">
        <v>301</v>
      </c>
      <c r="AV4" s="53" t="s">
        <v>300</v>
      </c>
      <c r="AW4" s="54" t="s">
        <v>301</v>
      </c>
      <c r="AX4" s="53" t="s">
        <v>300</v>
      </c>
      <c r="AY4" s="54" t="s">
        <v>301</v>
      </c>
      <c r="AZ4" s="53" t="s">
        <v>300</v>
      </c>
      <c r="BA4" s="54" t="s">
        <v>301</v>
      </c>
      <c r="BB4" s="53" t="s">
        <v>300</v>
      </c>
      <c r="BC4" s="54" t="s">
        <v>301</v>
      </c>
      <c r="BD4" s="53" t="s">
        <v>300</v>
      </c>
      <c r="BE4" s="54" t="s">
        <v>301</v>
      </c>
      <c r="BF4" s="53" t="s">
        <v>300</v>
      </c>
      <c r="BG4" s="54" t="s">
        <v>301</v>
      </c>
      <c r="BH4" s="53" t="s">
        <v>300</v>
      </c>
      <c r="BI4" s="54" t="s">
        <v>301</v>
      </c>
      <c r="BJ4" s="53" t="s">
        <v>300</v>
      </c>
      <c r="BK4" s="54" t="s">
        <v>301</v>
      </c>
      <c r="BL4" s="104" t="s">
        <v>300</v>
      </c>
      <c r="BM4" s="105" t="s">
        <v>301</v>
      </c>
    </row>
    <row r="5" spans="1:65" x14ac:dyDescent="0.25">
      <c r="A5" s="20" t="s">
        <v>170</v>
      </c>
      <c r="B5" s="91">
        <v>2085</v>
      </c>
      <c r="C5" s="91">
        <v>10136</v>
      </c>
      <c r="D5" s="91">
        <v>10522</v>
      </c>
      <c r="E5" s="91">
        <v>36495</v>
      </c>
      <c r="F5" s="91">
        <v>3134</v>
      </c>
      <c r="G5" s="91">
        <v>11101</v>
      </c>
      <c r="H5" s="91">
        <v>19940</v>
      </c>
      <c r="I5" s="91">
        <v>75573</v>
      </c>
      <c r="J5" s="91">
        <v>18786</v>
      </c>
      <c r="K5" s="91">
        <v>60615</v>
      </c>
      <c r="L5" s="91">
        <v>10759</v>
      </c>
      <c r="M5" s="91">
        <v>39363</v>
      </c>
      <c r="N5" s="91">
        <v>5327.71</v>
      </c>
      <c r="O5" s="91">
        <v>17669.38</v>
      </c>
      <c r="P5" s="91">
        <v>1502.24</v>
      </c>
      <c r="Q5" s="91">
        <v>6173.06</v>
      </c>
      <c r="R5" s="91">
        <v>8440.4</v>
      </c>
      <c r="S5" s="91">
        <v>31810.9</v>
      </c>
      <c r="T5" s="91">
        <v>4647</v>
      </c>
      <c r="U5" s="91">
        <v>18299</v>
      </c>
      <c r="V5" s="91">
        <v>18158</v>
      </c>
      <c r="W5" s="91">
        <v>66645</v>
      </c>
      <c r="X5" s="91">
        <v>21017</v>
      </c>
      <c r="Y5" s="91">
        <v>94976</v>
      </c>
      <c r="Z5" s="91">
        <v>8322</v>
      </c>
      <c r="AA5" s="91">
        <v>39116</v>
      </c>
      <c r="AB5" s="91">
        <v>3221.76</v>
      </c>
      <c r="AC5" s="91">
        <v>10079.92</v>
      </c>
      <c r="AD5" s="91">
        <v>1970</v>
      </c>
      <c r="AE5" s="91">
        <v>13883</v>
      </c>
      <c r="AF5" s="69">
        <v>3531</v>
      </c>
      <c r="AG5" s="91">
        <v>13450</v>
      </c>
      <c r="AH5" s="91">
        <v>4450.04</v>
      </c>
      <c r="AI5" s="91">
        <v>16936.7</v>
      </c>
      <c r="AJ5" s="91">
        <v>13488</v>
      </c>
      <c r="AK5" s="91">
        <v>44309</v>
      </c>
      <c r="AL5" s="91">
        <v>63856.46</v>
      </c>
      <c r="AM5" s="91">
        <v>207751.67</v>
      </c>
      <c r="AN5" s="91">
        <v>741</v>
      </c>
      <c r="AO5" s="91">
        <v>2937</v>
      </c>
      <c r="AP5" s="91">
        <v>1289</v>
      </c>
      <c r="AQ5" s="91">
        <v>5224</v>
      </c>
      <c r="AR5" s="76">
        <v>11588</v>
      </c>
      <c r="AS5" s="76">
        <v>46385</v>
      </c>
      <c r="AT5" s="91">
        <v>4517</v>
      </c>
      <c r="AU5" s="91">
        <v>19835</v>
      </c>
      <c r="AV5" s="91">
        <v>10429</v>
      </c>
      <c r="AW5" s="91">
        <v>40557</v>
      </c>
      <c r="AX5" s="91">
        <v>2836</v>
      </c>
      <c r="AY5" s="91">
        <v>10468</v>
      </c>
      <c r="AZ5" s="91">
        <v>42598</v>
      </c>
      <c r="BA5" s="91">
        <v>134360</v>
      </c>
      <c r="BB5" s="91">
        <v>13200</v>
      </c>
      <c r="BC5" s="91">
        <v>56866</v>
      </c>
      <c r="BD5" s="91">
        <v>86531</v>
      </c>
      <c r="BE5" s="91">
        <v>297787</v>
      </c>
      <c r="BF5" s="91">
        <v>98284</v>
      </c>
      <c r="BG5" s="91">
        <v>282431</v>
      </c>
      <c r="BH5" s="91">
        <v>137855</v>
      </c>
      <c r="BI5" s="91">
        <v>360477</v>
      </c>
      <c r="BJ5" s="91">
        <v>2959</v>
      </c>
      <c r="BK5" s="91">
        <v>11799</v>
      </c>
      <c r="BL5" s="68">
        <f t="shared" ref="BL5:BL17" si="0">SUM(B5+D5+F5+H5+J5+L5+N5+P5+R5+T5+V5+X5+Z5+AB5+AD5+AF5+AH5+AJ5+AL5+AN5+AP5+AR5+AT5+AV5+AX5+AZ5+BB5+BD5+BF5+BH5+BJ5)</f>
        <v>635984.61</v>
      </c>
      <c r="BM5" s="68">
        <f t="shared" ref="BM5:BM17" si="1">SUM(C5+E5+G5+I5+K5+M5+O5+Q5+S5+U5+W5+Y5+AA5+AC5+AE5+AG5+AI5+AK5+AM5+AO5+AQ5+AS5+AU5+AW5+AY5+BA5+BC5+BE5+BG5+BI5+BK5)</f>
        <v>2083508.63</v>
      </c>
    </row>
    <row r="6" spans="1:65" x14ac:dyDescent="0.25">
      <c r="A6" s="20" t="s">
        <v>171</v>
      </c>
      <c r="B6" s="91">
        <v>6</v>
      </c>
      <c r="C6" s="91">
        <v>48</v>
      </c>
      <c r="D6" s="91">
        <v>291</v>
      </c>
      <c r="E6" s="91">
        <v>832</v>
      </c>
      <c r="F6" s="91">
        <v>66</v>
      </c>
      <c r="G6" s="91">
        <v>212</v>
      </c>
      <c r="H6" s="91">
        <v>850</v>
      </c>
      <c r="I6" s="91">
        <v>2550</v>
      </c>
      <c r="J6" s="91">
        <v>464</v>
      </c>
      <c r="K6" s="91">
        <v>930</v>
      </c>
      <c r="L6" s="91">
        <v>511</v>
      </c>
      <c r="M6" s="91">
        <v>1102</v>
      </c>
      <c r="N6" s="91">
        <v>436</v>
      </c>
      <c r="O6" s="91">
        <v>921.48</v>
      </c>
      <c r="P6" s="91">
        <v>34.72</v>
      </c>
      <c r="Q6" s="91">
        <v>97.73</v>
      </c>
      <c r="R6" s="91">
        <v>233.77</v>
      </c>
      <c r="S6" s="91">
        <v>552.09</v>
      </c>
      <c r="T6" s="91">
        <v>228</v>
      </c>
      <c r="U6" s="91">
        <v>621</v>
      </c>
      <c r="V6" s="91">
        <v>656</v>
      </c>
      <c r="W6" s="91">
        <v>2430</v>
      </c>
      <c r="X6" s="91">
        <v>1129</v>
      </c>
      <c r="Y6" s="91">
        <v>3695</v>
      </c>
      <c r="Z6" s="91">
        <v>336</v>
      </c>
      <c r="AA6" s="91">
        <v>1299</v>
      </c>
      <c r="AB6" s="91">
        <v>122.83</v>
      </c>
      <c r="AC6" s="91">
        <v>303.14999999999998</v>
      </c>
      <c r="AD6" s="91">
        <v>118</v>
      </c>
      <c r="AE6" s="91">
        <v>661</v>
      </c>
      <c r="AF6" s="69">
        <v>87</v>
      </c>
      <c r="AG6" s="91">
        <v>264</v>
      </c>
      <c r="AH6" s="91">
        <v>62.85</v>
      </c>
      <c r="AI6" s="91">
        <v>151.32</v>
      </c>
      <c r="AJ6" s="91">
        <v>462</v>
      </c>
      <c r="AK6" s="91">
        <v>1258</v>
      </c>
      <c r="AL6" s="91">
        <v>825.1</v>
      </c>
      <c r="AM6" s="91">
        <v>2274.3000000000002</v>
      </c>
      <c r="AN6" s="91">
        <v>-1</v>
      </c>
      <c r="AO6" s="91">
        <v>11</v>
      </c>
      <c r="AP6" s="91">
        <v>11</v>
      </c>
      <c r="AQ6" s="91">
        <v>51</v>
      </c>
      <c r="AR6" s="76">
        <v>676</v>
      </c>
      <c r="AS6" s="76">
        <v>2931</v>
      </c>
      <c r="AT6" s="91">
        <v>189</v>
      </c>
      <c r="AU6" s="91">
        <v>461</v>
      </c>
      <c r="AV6" s="91">
        <v>839</v>
      </c>
      <c r="AW6" s="91">
        <v>2577</v>
      </c>
      <c r="AX6" s="91">
        <v>421</v>
      </c>
      <c r="AY6" s="91">
        <v>1145</v>
      </c>
      <c r="AZ6" s="91">
        <v>665</v>
      </c>
      <c r="BA6" s="91">
        <v>3052</v>
      </c>
      <c r="BB6" s="91">
        <v>531</v>
      </c>
      <c r="BC6" s="91">
        <v>1479</v>
      </c>
      <c r="BD6" s="91">
        <v>1457</v>
      </c>
      <c r="BE6" s="91">
        <v>4053</v>
      </c>
      <c r="BF6" s="91">
        <v>684</v>
      </c>
      <c r="BG6" s="91">
        <v>2098</v>
      </c>
      <c r="BH6" s="91">
        <v>926</v>
      </c>
      <c r="BI6" s="91">
        <v>2517</v>
      </c>
      <c r="BJ6" s="91">
        <v>98</v>
      </c>
      <c r="BK6" s="91">
        <v>565</v>
      </c>
      <c r="BL6" s="68">
        <f t="shared" si="0"/>
        <v>13415.27</v>
      </c>
      <c r="BM6" s="68">
        <f t="shared" si="1"/>
        <v>41142.069999999992</v>
      </c>
    </row>
    <row r="7" spans="1:65" x14ac:dyDescent="0.25">
      <c r="A7" s="20" t="s">
        <v>172</v>
      </c>
      <c r="B7" s="91">
        <v>3</v>
      </c>
      <c r="C7" s="91">
        <v>6</v>
      </c>
      <c r="D7" s="91">
        <v>50</v>
      </c>
      <c r="E7" s="91">
        <v>164</v>
      </c>
      <c r="F7" s="91">
        <v>10</v>
      </c>
      <c r="G7" s="91">
        <v>16</v>
      </c>
      <c r="H7" s="91">
        <v>993</v>
      </c>
      <c r="I7" s="91">
        <v>1025</v>
      </c>
      <c r="J7" s="91">
        <v>640</v>
      </c>
      <c r="K7" s="91">
        <v>1335</v>
      </c>
      <c r="L7" s="91">
        <v>16</v>
      </c>
      <c r="M7" s="91">
        <v>69</v>
      </c>
      <c r="N7" s="91">
        <v>18.38</v>
      </c>
      <c r="O7" s="91">
        <v>38.24</v>
      </c>
      <c r="P7" s="91">
        <v>34.08</v>
      </c>
      <c r="Q7" s="91">
        <v>62.72</v>
      </c>
      <c r="R7" s="91">
        <v>151.72</v>
      </c>
      <c r="S7" s="91">
        <v>784.07</v>
      </c>
      <c r="T7" s="91">
        <v>95</v>
      </c>
      <c r="U7" s="91">
        <v>246</v>
      </c>
      <c r="V7" s="91">
        <v>1127</v>
      </c>
      <c r="W7" s="91">
        <v>2032</v>
      </c>
      <c r="X7" s="91">
        <v>191</v>
      </c>
      <c r="Y7" s="91">
        <v>411</v>
      </c>
      <c r="Z7" s="91">
        <v>21</v>
      </c>
      <c r="AA7" s="91">
        <v>81</v>
      </c>
      <c r="AB7" s="91">
        <v>7.43</v>
      </c>
      <c r="AC7" s="91">
        <v>19.73</v>
      </c>
      <c r="AD7" s="91">
        <v>115</v>
      </c>
      <c r="AE7" s="91">
        <v>456</v>
      </c>
      <c r="AF7" s="69">
        <v>7</v>
      </c>
      <c r="AG7" s="91">
        <v>16</v>
      </c>
      <c r="AH7" s="91">
        <v>192.77</v>
      </c>
      <c r="AI7" s="91">
        <v>655.04</v>
      </c>
      <c r="AJ7" s="91">
        <v>30</v>
      </c>
      <c r="AK7" s="91">
        <v>84</v>
      </c>
      <c r="AL7" s="91">
        <v>52.43</v>
      </c>
      <c r="AM7" s="91">
        <v>139.93</v>
      </c>
      <c r="AN7" s="91">
        <v>241</v>
      </c>
      <c r="AO7" s="91">
        <v>536</v>
      </c>
      <c r="AP7" s="91">
        <v>231</v>
      </c>
      <c r="AQ7" s="91">
        <v>622</v>
      </c>
      <c r="AR7" s="76">
        <v>525</v>
      </c>
      <c r="AS7" s="76">
        <v>1685</v>
      </c>
      <c r="AT7" s="91">
        <v>18</v>
      </c>
      <c r="AU7" s="91">
        <v>37</v>
      </c>
      <c r="AV7" s="91">
        <v>22</v>
      </c>
      <c r="AW7" s="91">
        <v>176</v>
      </c>
      <c r="AX7" s="91">
        <v>26</v>
      </c>
      <c r="AY7" s="91">
        <v>73</v>
      </c>
      <c r="AZ7" s="91">
        <v>124</v>
      </c>
      <c r="BA7" s="91">
        <v>470</v>
      </c>
      <c r="BB7" s="91">
        <v>578</v>
      </c>
      <c r="BC7" s="91">
        <v>1192</v>
      </c>
      <c r="BD7" s="91">
        <v>84</v>
      </c>
      <c r="BE7" s="91">
        <v>468</v>
      </c>
      <c r="BF7" s="91">
        <v>53</v>
      </c>
      <c r="BG7" s="91">
        <v>176</v>
      </c>
      <c r="BH7" s="91">
        <v>31</v>
      </c>
      <c r="BI7" s="91">
        <v>66</v>
      </c>
      <c r="BJ7" s="91">
        <v>8</v>
      </c>
      <c r="BK7" s="91">
        <v>13</v>
      </c>
      <c r="BL7" s="68">
        <f t="shared" si="0"/>
        <v>5695.8099999999995</v>
      </c>
      <c r="BM7" s="68">
        <f t="shared" si="1"/>
        <v>13154.73</v>
      </c>
    </row>
    <row r="8" spans="1:65" x14ac:dyDescent="0.25">
      <c r="A8" s="20" t="s">
        <v>173</v>
      </c>
      <c r="B8" s="91">
        <v>276</v>
      </c>
      <c r="C8" s="91">
        <v>494</v>
      </c>
      <c r="D8" s="91">
        <v>218</v>
      </c>
      <c r="E8" s="91">
        <v>918</v>
      </c>
      <c r="F8" s="91">
        <v>316</v>
      </c>
      <c r="G8" s="91">
        <v>886</v>
      </c>
      <c r="H8" s="91">
        <v>690</v>
      </c>
      <c r="I8" s="91">
        <v>2909</v>
      </c>
      <c r="J8" s="91">
        <v>515</v>
      </c>
      <c r="K8" s="91">
        <v>1765</v>
      </c>
      <c r="L8" s="91">
        <v>411</v>
      </c>
      <c r="M8" s="91">
        <v>1403</v>
      </c>
      <c r="N8" s="91">
        <v>691.13</v>
      </c>
      <c r="O8" s="91">
        <v>2736.04</v>
      </c>
      <c r="P8" s="91">
        <v>85.55</v>
      </c>
      <c r="Q8" s="91">
        <v>430.15</v>
      </c>
      <c r="R8" s="91">
        <v>483.61</v>
      </c>
      <c r="S8" s="91">
        <v>1907.45</v>
      </c>
      <c r="T8" s="91">
        <v>225</v>
      </c>
      <c r="U8" s="91">
        <v>1218</v>
      </c>
      <c r="V8" s="91">
        <v>1195</v>
      </c>
      <c r="W8" s="91">
        <v>4222</v>
      </c>
      <c r="X8" s="91">
        <v>2105</v>
      </c>
      <c r="Y8" s="91">
        <v>8990</v>
      </c>
      <c r="Z8" s="91">
        <v>1163</v>
      </c>
      <c r="AA8" s="91">
        <v>4740</v>
      </c>
      <c r="AB8" s="91">
        <v>290.55</v>
      </c>
      <c r="AC8" s="91">
        <v>968.7</v>
      </c>
      <c r="AD8" s="91">
        <v>357</v>
      </c>
      <c r="AE8" s="91">
        <v>1661</v>
      </c>
      <c r="AF8" s="69">
        <v>166</v>
      </c>
      <c r="AG8" s="91">
        <v>569</v>
      </c>
      <c r="AH8" s="91">
        <v>258.39999999999998</v>
      </c>
      <c r="AI8" s="91">
        <v>908.6</v>
      </c>
      <c r="AJ8" s="91">
        <v>359</v>
      </c>
      <c r="AK8" s="91">
        <v>1425</v>
      </c>
      <c r="AL8" s="91">
        <v>2920.83</v>
      </c>
      <c r="AM8" s="91">
        <v>9752.68</v>
      </c>
      <c r="AN8" s="91">
        <v>85</v>
      </c>
      <c r="AO8" s="91">
        <v>297</v>
      </c>
      <c r="AP8" s="91">
        <v>62</v>
      </c>
      <c r="AQ8" s="91">
        <v>248</v>
      </c>
      <c r="AR8" s="76">
        <v>550</v>
      </c>
      <c r="AS8" s="76">
        <v>2256</v>
      </c>
      <c r="AT8" s="91">
        <v>542</v>
      </c>
      <c r="AU8" s="91">
        <v>2006</v>
      </c>
      <c r="AV8" s="91">
        <v>597</v>
      </c>
      <c r="AW8" s="91">
        <v>2794</v>
      </c>
      <c r="AX8" s="91">
        <v>299</v>
      </c>
      <c r="AY8" s="91">
        <v>1176</v>
      </c>
      <c r="AZ8" s="91">
        <v>2022</v>
      </c>
      <c r="BA8" s="91">
        <v>7464</v>
      </c>
      <c r="BB8" s="91">
        <v>921</v>
      </c>
      <c r="BC8" s="91">
        <v>12503</v>
      </c>
      <c r="BD8" s="91">
        <v>5136</v>
      </c>
      <c r="BE8" s="91">
        <v>16738</v>
      </c>
      <c r="BF8" s="91">
        <v>2546</v>
      </c>
      <c r="BG8" s="91">
        <v>8598</v>
      </c>
      <c r="BH8" s="91">
        <v>3896</v>
      </c>
      <c r="BI8" s="91">
        <v>11770</v>
      </c>
      <c r="BJ8" s="91">
        <v>-154</v>
      </c>
      <c r="BK8" s="91">
        <v>456</v>
      </c>
      <c r="BL8" s="68">
        <f t="shared" si="0"/>
        <v>29228.07</v>
      </c>
      <c r="BM8" s="68">
        <f t="shared" si="1"/>
        <v>114209.62</v>
      </c>
    </row>
    <row r="9" spans="1:65" x14ac:dyDescent="0.25">
      <c r="A9" s="20" t="s">
        <v>174</v>
      </c>
      <c r="B9" s="91">
        <v>5</v>
      </c>
      <c r="C9" s="91">
        <v>23</v>
      </c>
      <c r="D9" s="91">
        <v>98</v>
      </c>
      <c r="E9" s="91">
        <v>387</v>
      </c>
      <c r="F9" s="91">
        <v>96</v>
      </c>
      <c r="G9" s="91">
        <v>243</v>
      </c>
      <c r="H9" s="91">
        <v>300</v>
      </c>
      <c r="I9" s="91">
        <v>1194</v>
      </c>
      <c r="J9" s="91">
        <v>21</v>
      </c>
      <c r="K9" s="91">
        <v>63</v>
      </c>
      <c r="L9" s="91">
        <v>115</v>
      </c>
      <c r="M9" s="91">
        <v>329</v>
      </c>
      <c r="N9" s="91">
        <v>317.33</v>
      </c>
      <c r="O9" s="91">
        <v>1118.9000000000001</v>
      </c>
      <c r="P9" s="91">
        <v>19.420000000000002</v>
      </c>
      <c r="Q9" s="91">
        <v>56.1</v>
      </c>
      <c r="R9" s="91">
        <v>1260.3399999999999</v>
      </c>
      <c r="S9" s="91">
        <v>4815.72</v>
      </c>
      <c r="T9" s="91"/>
      <c r="U9" s="91"/>
      <c r="V9" s="91">
        <v>532</v>
      </c>
      <c r="W9" s="91">
        <v>2121</v>
      </c>
      <c r="X9" s="91">
        <v>2027</v>
      </c>
      <c r="Y9" s="91">
        <v>6908</v>
      </c>
      <c r="Z9" s="91">
        <v>1272</v>
      </c>
      <c r="AA9" s="91">
        <v>2958</v>
      </c>
      <c r="AB9" s="91">
        <v>38.35</v>
      </c>
      <c r="AC9" s="91">
        <v>155.44</v>
      </c>
      <c r="AD9" s="91">
        <v>177</v>
      </c>
      <c r="AE9" s="91">
        <v>940</v>
      </c>
      <c r="AF9" s="69">
        <v>25</v>
      </c>
      <c r="AG9" s="91">
        <v>72</v>
      </c>
      <c r="AH9" s="91">
        <v>6.47</v>
      </c>
      <c r="AI9" s="91">
        <v>18.670000000000002</v>
      </c>
      <c r="AJ9" s="91">
        <v>308</v>
      </c>
      <c r="AK9" s="91">
        <v>773</v>
      </c>
      <c r="AL9" s="91">
        <v>241.74</v>
      </c>
      <c r="AM9" s="91">
        <v>576.1</v>
      </c>
      <c r="AN9" s="91">
        <v>1</v>
      </c>
      <c r="AO9" s="91">
        <v>3</v>
      </c>
      <c r="AP9" s="91">
        <v>2</v>
      </c>
      <c r="AQ9" s="91">
        <v>2</v>
      </c>
      <c r="AR9" s="76">
        <v>1720</v>
      </c>
      <c r="AS9" s="76">
        <v>5730</v>
      </c>
      <c r="AT9" s="91">
        <v>207</v>
      </c>
      <c r="AU9" s="91">
        <v>647</v>
      </c>
      <c r="AV9" s="91">
        <v>890</v>
      </c>
      <c r="AW9" s="91">
        <v>3080</v>
      </c>
      <c r="AX9" s="91">
        <v>72</v>
      </c>
      <c r="AY9" s="91">
        <v>275</v>
      </c>
      <c r="AZ9" s="91">
        <v>841</v>
      </c>
      <c r="BA9" s="91">
        <v>2881</v>
      </c>
      <c r="BB9" s="91">
        <v>89</v>
      </c>
      <c r="BC9" s="91">
        <v>279</v>
      </c>
      <c r="BD9" s="91">
        <v>1688</v>
      </c>
      <c r="BE9" s="91">
        <v>7450</v>
      </c>
      <c r="BF9" s="91">
        <v>870</v>
      </c>
      <c r="BG9" s="91">
        <v>2664</v>
      </c>
      <c r="BH9" s="91">
        <v>416</v>
      </c>
      <c r="BI9" s="91">
        <v>1138</v>
      </c>
      <c r="BJ9" s="91">
        <v>16</v>
      </c>
      <c r="BK9" s="91">
        <v>717</v>
      </c>
      <c r="BL9" s="68">
        <f t="shared" si="0"/>
        <v>13671.650000000001</v>
      </c>
      <c r="BM9" s="68">
        <f t="shared" si="1"/>
        <v>47617.929999999993</v>
      </c>
    </row>
    <row r="10" spans="1:65" x14ac:dyDescent="0.25">
      <c r="A10" s="20" t="s">
        <v>175</v>
      </c>
      <c r="B10" s="91">
        <v>1</v>
      </c>
      <c r="C10" s="91">
        <v>4</v>
      </c>
      <c r="D10" s="91">
        <v>150</v>
      </c>
      <c r="E10" s="91">
        <v>469</v>
      </c>
      <c r="F10" s="91">
        <v>62</v>
      </c>
      <c r="G10" s="91">
        <v>260</v>
      </c>
      <c r="H10" s="91">
        <v>822</v>
      </c>
      <c r="I10" s="91">
        <v>1354</v>
      </c>
      <c r="J10" s="91">
        <v>83</v>
      </c>
      <c r="K10" s="91">
        <v>630</v>
      </c>
      <c r="L10" s="91">
        <v>125</v>
      </c>
      <c r="M10" s="91">
        <v>416</v>
      </c>
      <c r="N10" s="91">
        <v>58.6</v>
      </c>
      <c r="O10" s="91">
        <v>172.49</v>
      </c>
      <c r="P10" s="91">
        <v>4.5</v>
      </c>
      <c r="Q10" s="91">
        <v>15.39</v>
      </c>
      <c r="R10" s="91">
        <v>294.5</v>
      </c>
      <c r="S10" s="91">
        <v>737.78</v>
      </c>
      <c r="T10" s="91">
        <v>39</v>
      </c>
      <c r="U10" s="91">
        <v>126</v>
      </c>
      <c r="V10" s="91">
        <v>270</v>
      </c>
      <c r="W10" s="91">
        <v>1244</v>
      </c>
      <c r="X10" s="91">
        <v>320</v>
      </c>
      <c r="Y10" s="91">
        <v>1173</v>
      </c>
      <c r="Z10" s="91">
        <v>219</v>
      </c>
      <c r="AA10" s="91">
        <v>616</v>
      </c>
      <c r="AB10" s="91">
        <v>49.76</v>
      </c>
      <c r="AC10" s="91">
        <v>126.65</v>
      </c>
      <c r="AD10" s="91">
        <v>-80</v>
      </c>
      <c r="AE10" s="91">
        <v>151</v>
      </c>
      <c r="AF10" s="69">
        <v>25</v>
      </c>
      <c r="AG10" s="91">
        <v>79</v>
      </c>
      <c r="AH10" s="91">
        <v>43.74</v>
      </c>
      <c r="AI10" s="91">
        <v>121.06</v>
      </c>
      <c r="AJ10" s="91">
        <v>31</v>
      </c>
      <c r="AK10" s="91">
        <v>51</v>
      </c>
      <c r="AL10" s="91">
        <v>944.61</v>
      </c>
      <c r="AM10" s="91">
        <v>3128.15</v>
      </c>
      <c r="AN10" s="91">
        <v>4</v>
      </c>
      <c r="AO10" s="91">
        <v>13</v>
      </c>
      <c r="AP10" s="91">
        <v>12</v>
      </c>
      <c r="AQ10" s="91">
        <v>39</v>
      </c>
      <c r="AR10" s="76">
        <v>103</v>
      </c>
      <c r="AS10" s="76">
        <v>258</v>
      </c>
      <c r="AT10" s="91">
        <v>92</v>
      </c>
      <c r="AU10" s="91">
        <v>313</v>
      </c>
      <c r="AV10" s="91">
        <v>798</v>
      </c>
      <c r="AW10" s="91">
        <v>2137</v>
      </c>
      <c r="AX10" s="91">
        <v>286</v>
      </c>
      <c r="AY10" s="91">
        <v>445</v>
      </c>
      <c r="AZ10" s="91">
        <v>415</v>
      </c>
      <c r="BA10" s="91">
        <v>1888</v>
      </c>
      <c r="BB10" s="91">
        <v>297</v>
      </c>
      <c r="BC10" s="91">
        <v>840</v>
      </c>
      <c r="BD10" s="91">
        <v>846</v>
      </c>
      <c r="BE10" s="91">
        <v>2971</v>
      </c>
      <c r="BF10" s="91">
        <v>425</v>
      </c>
      <c r="BG10" s="91">
        <v>1259</v>
      </c>
      <c r="BH10" s="91">
        <v>488</v>
      </c>
      <c r="BI10" s="91">
        <v>1557</v>
      </c>
      <c r="BJ10" s="91">
        <v>36</v>
      </c>
      <c r="BK10" s="91">
        <v>404</v>
      </c>
      <c r="BL10" s="68">
        <f t="shared" si="0"/>
        <v>7264.71</v>
      </c>
      <c r="BM10" s="68">
        <f t="shared" si="1"/>
        <v>22998.52</v>
      </c>
    </row>
    <row r="11" spans="1:65" x14ac:dyDescent="0.25">
      <c r="A11" s="20" t="s">
        <v>176</v>
      </c>
      <c r="B11" s="91">
        <v>40</v>
      </c>
      <c r="C11" s="91">
        <v>113</v>
      </c>
      <c r="D11" s="91">
        <v>230</v>
      </c>
      <c r="E11" s="91">
        <v>741</v>
      </c>
      <c r="F11" s="91">
        <v>33</v>
      </c>
      <c r="G11" s="91">
        <v>113</v>
      </c>
      <c r="H11" s="91">
        <v>561</v>
      </c>
      <c r="I11" s="91">
        <v>1695</v>
      </c>
      <c r="J11" s="91">
        <v>236</v>
      </c>
      <c r="K11" s="91">
        <v>1352</v>
      </c>
      <c r="L11" s="91">
        <v>293</v>
      </c>
      <c r="M11" s="91">
        <v>904</v>
      </c>
      <c r="N11" s="91">
        <v>34.39</v>
      </c>
      <c r="O11" s="91">
        <v>118.23</v>
      </c>
      <c r="P11" s="91">
        <v>13.43</v>
      </c>
      <c r="Q11" s="91">
        <v>44.38</v>
      </c>
      <c r="R11" s="91">
        <v>342.27</v>
      </c>
      <c r="S11" s="91">
        <v>983.44</v>
      </c>
      <c r="T11" s="91">
        <v>42</v>
      </c>
      <c r="U11" s="91">
        <v>175</v>
      </c>
      <c r="V11" s="91">
        <v>262</v>
      </c>
      <c r="W11" s="91">
        <v>1023</v>
      </c>
      <c r="X11" s="91">
        <v>1586</v>
      </c>
      <c r="Y11" s="91">
        <v>5947</v>
      </c>
      <c r="Z11" s="91">
        <v>248</v>
      </c>
      <c r="AA11" s="91">
        <v>1269</v>
      </c>
      <c r="AB11" s="91">
        <v>47.58</v>
      </c>
      <c r="AC11" s="91">
        <v>141.82</v>
      </c>
      <c r="AD11" s="91">
        <v>-39</v>
      </c>
      <c r="AE11" s="91">
        <v>271</v>
      </c>
      <c r="AF11" s="69">
        <v>40</v>
      </c>
      <c r="AG11" s="91">
        <v>121</v>
      </c>
      <c r="AH11" s="91">
        <v>79.02</v>
      </c>
      <c r="AI11" s="91">
        <v>386.33</v>
      </c>
      <c r="AJ11" s="91">
        <v>358</v>
      </c>
      <c r="AK11" s="91">
        <v>1111</v>
      </c>
      <c r="AL11" s="91">
        <v>718.75</v>
      </c>
      <c r="AM11" s="91">
        <v>2608.88</v>
      </c>
      <c r="AN11" s="91">
        <v>7</v>
      </c>
      <c r="AO11" s="91">
        <v>21</v>
      </c>
      <c r="AP11" s="91">
        <v>6</v>
      </c>
      <c r="AQ11" s="91">
        <v>74</v>
      </c>
      <c r="AR11" s="76">
        <v>299</v>
      </c>
      <c r="AS11" s="76">
        <v>1294</v>
      </c>
      <c r="AT11" s="91">
        <v>180</v>
      </c>
      <c r="AU11" s="91">
        <v>643</v>
      </c>
      <c r="AV11" s="91">
        <v>908</v>
      </c>
      <c r="AW11" s="91">
        <v>2431</v>
      </c>
      <c r="AX11" s="91">
        <v>155</v>
      </c>
      <c r="AY11" s="91">
        <v>470</v>
      </c>
      <c r="AZ11" s="91">
        <v>351</v>
      </c>
      <c r="BA11" s="91">
        <v>2990</v>
      </c>
      <c r="BB11" s="91">
        <v>604</v>
      </c>
      <c r="BC11" s="91">
        <v>2213</v>
      </c>
      <c r="BD11" s="91">
        <v>671</v>
      </c>
      <c r="BE11" s="91">
        <v>2164</v>
      </c>
      <c r="BF11" s="91">
        <v>346</v>
      </c>
      <c r="BG11" s="91">
        <v>1048</v>
      </c>
      <c r="BH11" s="91">
        <v>731</v>
      </c>
      <c r="BI11" s="91">
        <v>2459</v>
      </c>
      <c r="BJ11" s="91">
        <v>77</v>
      </c>
      <c r="BK11" s="91">
        <v>466</v>
      </c>
      <c r="BL11" s="68">
        <f t="shared" si="0"/>
        <v>9460.44</v>
      </c>
      <c r="BM11" s="68">
        <f t="shared" si="1"/>
        <v>35391.08</v>
      </c>
    </row>
    <row r="12" spans="1:65" x14ac:dyDescent="0.25">
      <c r="A12" s="20" t="s">
        <v>177</v>
      </c>
      <c r="B12" s="91">
        <v>127</v>
      </c>
      <c r="C12" s="91">
        <v>449</v>
      </c>
      <c r="D12" s="91">
        <v>500</v>
      </c>
      <c r="E12" s="91">
        <v>1388</v>
      </c>
      <c r="F12" s="91">
        <v>170</v>
      </c>
      <c r="G12" s="91">
        <v>378</v>
      </c>
      <c r="H12" s="91">
        <v>421</v>
      </c>
      <c r="I12" s="91">
        <v>1755</v>
      </c>
      <c r="J12" s="91">
        <v>475</v>
      </c>
      <c r="K12" s="91">
        <v>2217</v>
      </c>
      <c r="L12" s="91">
        <v>266</v>
      </c>
      <c r="M12" s="91">
        <v>799</v>
      </c>
      <c r="N12" s="91">
        <v>358.96</v>
      </c>
      <c r="O12" s="91">
        <v>928.65</v>
      </c>
      <c r="P12" s="91">
        <v>106.17</v>
      </c>
      <c r="Q12" s="91">
        <v>315.70999999999998</v>
      </c>
      <c r="R12" s="91">
        <v>-30.41</v>
      </c>
      <c r="S12" s="91">
        <v>1569.76</v>
      </c>
      <c r="T12" s="91">
        <v>11343</v>
      </c>
      <c r="U12" s="91">
        <v>34084</v>
      </c>
      <c r="V12" s="91">
        <v>7009</v>
      </c>
      <c r="W12" s="91">
        <v>42747</v>
      </c>
      <c r="X12" s="91">
        <v>3505</v>
      </c>
      <c r="Y12" s="91">
        <v>9547</v>
      </c>
      <c r="Z12" s="91">
        <v>1757</v>
      </c>
      <c r="AA12" s="91">
        <v>7617</v>
      </c>
      <c r="AB12" s="91">
        <v>209.59</v>
      </c>
      <c r="AC12" s="91">
        <v>612.99</v>
      </c>
      <c r="AD12" s="91">
        <v>265</v>
      </c>
      <c r="AE12" s="91">
        <v>1032</v>
      </c>
      <c r="AF12" s="69">
        <v>367</v>
      </c>
      <c r="AG12" s="91">
        <v>835</v>
      </c>
      <c r="AH12" s="91">
        <v>582.34</v>
      </c>
      <c r="AI12" s="91">
        <v>2290.0500000000002</v>
      </c>
      <c r="AJ12" s="91">
        <v>723</v>
      </c>
      <c r="AK12" s="91">
        <v>1661</v>
      </c>
      <c r="AL12" s="91">
        <v>516.91</v>
      </c>
      <c r="AM12" s="91">
        <v>1656.07</v>
      </c>
      <c r="AN12" s="91">
        <v>329</v>
      </c>
      <c r="AO12" s="91">
        <v>672</v>
      </c>
      <c r="AP12" s="91">
        <v>130</v>
      </c>
      <c r="AQ12" s="91">
        <v>556</v>
      </c>
      <c r="AR12" s="76">
        <v>522</v>
      </c>
      <c r="AS12" s="76">
        <v>2259</v>
      </c>
      <c r="AT12" s="91">
        <v>39</v>
      </c>
      <c r="AU12" s="91">
        <v>177</v>
      </c>
      <c r="AV12" s="91">
        <v>3284</v>
      </c>
      <c r="AW12" s="91">
        <v>10455</v>
      </c>
      <c r="AX12" s="91">
        <v>593</v>
      </c>
      <c r="AY12" s="91">
        <v>2458</v>
      </c>
      <c r="AZ12" s="91">
        <v>1185</v>
      </c>
      <c r="BA12" s="91">
        <v>4019</v>
      </c>
      <c r="BB12" s="91">
        <v>14073</v>
      </c>
      <c r="BC12" s="91">
        <v>52126</v>
      </c>
      <c r="BD12" s="91">
        <v>2464</v>
      </c>
      <c r="BE12" s="91">
        <v>7424</v>
      </c>
      <c r="BF12" s="91">
        <v>354</v>
      </c>
      <c r="BG12" s="91">
        <v>911</v>
      </c>
      <c r="BH12" s="91">
        <v>193</v>
      </c>
      <c r="BI12" s="91">
        <v>904</v>
      </c>
      <c r="BJ12" s="91">
        <v>328</v>
      </c>
      <c r="BK12" s="91">
        <v>1000</v>
      </c>
      <c r="BL12" s="68">
        <f t="shared" si="0"/>
        <v>52165.56</v>
      </c>
      <c r="BM12" s="68">
        <f t="shared" si="1"/>
        <v>194843.23</v>
      </c>
    </row>
    <row r="13" spans="1:65" x14ac:dyDescent="0.25">
      <c r="A13" s="20" t="s">
        <v>178</v>
      </c>
      <c r="B13" s="91">
        <v>7962</v>
      </c>
      <c r="C13" s="91">
        <v>29930</v>
      </c>
      <c r="D13" s="91">
        <v>7696</v>
      </c>
      <c r="E13" s="91">
        <v>19690</v>
      </c>
      <c r="F13" s="91">
        <v>2815</v>
      </c>
      <c r="G13" s="91">
        <v>7812</v>
      </c>
      <c r="H13" s="91">
        <v>7122</v>
      </c>
      <c r="I13" s="91">
        <v>15543</v>
      </c>
      <c r="J13" s="91">
        <v>10111</v>
      </c>
      <c r="K13" s="91">
        <v>30010</v>
      </c>
      <c r="L13" s="91">
        <v>18329</v>
      </c>
      <c r="M13" s="91">
        <v>44107</v>
      </c>
      <c r="N13" s="91">
        <v>141.91999999999999</v>
      </c>
      <c r="O13" s="91">
        <v>369.03</v>
      </c>
      <c r="P13" s="91">
        <v>1580.2</v>
      </c>
      <c r="Q13" s="91">
        <v>4804.5</v>
      </c>
      <c r="R13" s="91">
        <v>8716.49</v>
      </c>
      <c r="S13" s="91">
        <v>25972.84</v>
      </c>
      <c r="T13" s="91">
        <v>24202</v>
      </c>
      <c r="U13" s="91">
        <v>66354</v>
      </c>
      <c r="V13" s="91">
        <v>12575</v>
      </c>
      <c r="W13" s="91">
        <v>46675</v>
      </c>
      <c r="X13" s="91">
        <v>13634</v>
      </c>
      <c r="Y13" s="91">
        <v>54587</v>
      </c>
      <c r="Z13" s="91">
        <v>6880</v>
      </c>
      <c r="AA13" s="91">
        <v>23075</v>
      </c>
      <c r="AB13" s="91">
        <v>2730.43</v>
      </c>
      <c r="AC13" s="91">
        <v>6753.82</v>
      </c>
      <c r="AD13" s="91">
        <v>1785</v>
      </c>
      <c r="AE13" s="91">
        <v>6898</v>
      </c>
      <c r="AF13" s="69">
        <v>12142</v>
      </c>
      <c r="AG13" s="91">
        <v>38310</v>
      </c>
      <c r="AH13" s="91">
        <v>3806.88</v>
      </c>
      <c r="AI13" s="91">
        <v>12274.15</v>
      </c>
      <c r="AJ13" s="91">
        <v>12311</v>
      </c>
      <c r="AK13" s="91">
        <v>29552</v>
      </c>
      <c r="AL13" s="91">
        <v>1198.25</v>
      </c>
      <c r="AM13" s="91">
        <v>1613.56</v>
      </c>
      <c r="AN13" s="91">
        <v>569</v>
      </c>
      <c r="AO13" s="91">
        <v>7564</v>
      </c>
      <c r="AP13" s="91">
        <v>1653</v>
      </c>
      <c r="AQ13" s="91">
        <v>6395</v>
      </c>
      <c r="AR13" s="76">
        <v>35399</v>
      </c>
      <c r="AS13" s="76">
        <v>105440</v>
      </c>
      <c r="AT13" s="91">
        <v>5252</v>
      </c>
      <c r="AU13" s="91">
        <v>10623</v>
      </c>
      <c r="AV13" s="91">
        <v>11177</v>
      </c>
      <c r="AW13" s="91">
        <v>30445</v>
      </c>
      <c r="AX13" s="76">
        <v>1</v>
      </c>
      <c r="AY13" s="76">
        <v>6</v>
      </c>
      <c r="AZ13" s="91">
        <v>2077</v>
      </c>
      <c r="BA13" s="91">
        <v>11537</v>
      </c>
      <c r="BB13" s="91">
        <v>32788</v>
      </c>
      <c r="BC13" s="91">
        <v>83957</v>
      </c>
      <c r="BD13" s="91">
        <v>-2610</v>
      </c>
      <c r="BE13" s="91">
        <v>1050</v>
      </c>
      <c r="BF13" s="91">
        <v>14</v>
      </c>
      <c r="BG13" s="91">
        <v>204</v>
      </c>
      <c r="BH13" s="91">
        <v>42</v>
      </c>
      <c r="BI13" s="91">
        <v>-14</v>
      </c>
      <c r="BJ13" s="91">
        <v>2465</v>
      </c>
      <c r="BK13" s="91">
        <v>2963</v>
      </c>
      <c r="BL13" s="68">
        <f t="shared" si="0"/>
        <v>244565.16999999998</v>
      </c>
      <c r="BM13" s="68">
        <f t="shared" si="1"/>
        <v>724500.9</v>
      </c>
    </row>
    <row r="14" spans="1:65" x14ac:dyDescent="0.25">
      <c r="A14" s="20" t="s">
        <v>179</v>
      </c>
      <c r="B14" s="91">
        <v>109</v>
      </c>
      <c r="C14" s="91">
        <v>366</v>
      </c>
      <c r="D14" s="91">
        <v>126</v>
      </c>
      <c r="E14" s="91">
        <v>356</v>
      </c>
      <c r="F14" s="91">
        <v>8</v>
      </c>
      <c r="G14" s="91">
        <v>13</v>
      </c>
      <c r="H14" s="91">
        <v>874</v>
      </c>
      <c r="I14" s="91">
        <v>3176</v>
      </c>
      <c r="J14" s="91">
        <v>328</v>
      </c>
      <c r="K14" s="91">
        <v>1049</v>
      </c>
      <c r="L14" s="91">
        <v>543</v>
      </c>
      <c r="M14" s="91">
        <v>1841</v>
      </c>
      <c r="N14" s="91">
        <v>1.91</v>
      </c>
      <c r="O14" s="91">
        <v>5.96</v>
      </c>
      <c r="P14" s="91">
        <v>25.28</v>
      </c>
      <c r="Q14" s="91">
        <v>77</v>
      </c>
      <c r="R14" s="91">
        <v>159.37</v>
      </c>
      <c r="S14" s="91">
        <v>665.45</v>
      </c>
      <c r="T14" s="91">
        <v>421</v>
      </c>
      <c r="U14" s="91">
        <v>1237</v>
      </c>
      <c r="V14" s="91">
        <v>1631</v>
      </c>
      <c r="W14" s="91">
        <v>4294</v>
      </c>
      <c r="X14" s="91">
        <v>1882</v>
      </c>
      <c r="Y14" s="91">
        <v>5918</v>
      </c>
      <c r="Z14" s="91">
        <v>785</v>
      </c>
      <c r="AA14" s="91">
        <v>2641</v>
      </c>
      <c r="AB14" s="91">
        <v>88.6</v>
      </c>
      <c r="AC14" s="91">
        <v>220.68</v>
      </c>
      <c r="AD14" s="91">
        <v>114</v>
      </c>
      <c r="AE14" s="91">
        <v>375</v>
      </c>
      <c r="AF14" s="69">
        <v>225</v>
      </c>
      <c r="AG14" s="91">
        <v>675</v>
      </c>
      <c r="AH14" s="91">
        <v>81.099999999999994</v>
      </c>
      <c r="AI14" s="91">
        <v>287.98</v>
      </c>
      <c r="AJ14" s="91">
        <v>318</v>
      </c>
      <c r="AK14" s="91">
        <v>966</v>
      </c>
      <c r="AL14" s="91">
        <v>2196.7399999999998</v>
      </c>
      <c r="AM14" s="91">
        <v>3619.11</v>
      </c>
      <c r="AN14" s="91">
        <v>11</v>
      </c>
      <c r="AO14" s="91">
        <v>25</v>
      </c>
      <c r="AP14" s="91">
        <v>54</v>
      </c>
      <c r="AQ14" s="91">
        <v>163</v>
      </c>
      <c r="AR14" s="76">
        <v>540</v>
      </c>
      <c r="AS14" s="76">
        <v>1856</v>
      </c>
      <c r="AT14" s="91">
        <v>235</v>
      </c>
      <c r="AU14" s="91">
        <v>794</v>
      </c>
      <c r="AV14" s="91">
        <v>472</v>
      </c>
      <c r="AW14" s="91">
        <v>1511</v>
      </c>
      <c r="AX14" s="76">
        <v>179</v>
      </c>
      <c r="AY14" s="76">
        <v>691</v>
      </c>
      <c r="AZ14" s="91">
        <v>70</v>
      </c>
      <c r="BA14" s="91">
        <v>272</v>
      </c>
      <c r="BB14" s="91">
        <v>704</v>
      </c>
      <c r="BC14" s="91">
        <v>2354</v>
      </c>
      <c r="BD14" s="91">
        <v>1140</v>
      </c>
      <c r="BE14" s="91">
        <v>2950</v>
      </c>
      <c r="BF14" s="91">
        <v>263</v>
      </c>
      <c r="BG14" s="91">
        <v>1113</v>
      </c>
      <c r="BH14" s="91">
        <v>831</v>
      </c>
      <c r="BI14" s="91">
        <v>3063</v>
      </c>
      <c r="BJ14" s="91">
        <v>257</v>
      </c>
      <c r="BK14" s="91">
        <v>765</v>
      </c>
      <c r="BL14" s="68">
        <f t="shared" si="0"/>
        <v>14673</v>
      </c>
      <c r="BM14" s="68">
        <f t="shared" si="1"/>
        <v>43340.18</v>
      </c>
    </row>
    <row r="15" spans="1:65" x14ac:dyDescent="0.25">
      <c r="A15" s="21" t="s">
        <v>31</v>
      </c>
      <c r="B15" s="76">
        <f>B17-B16-B14-B13-B12-B11-B10-B9-B8-B7-B6-B5</f>
        <v>1542</v>
      </c>
      <c r="C15" s="91">
        <f t="shared" ref="C15:BK15" si="2">C17-C16-C14-C13-C12-C11-C10-C9-C8-C7-C6-C5</f>
        <v>5230</v>
      </c>
      <c r="D15" s="91">
        <f t="shared" si="2"/>
        <v>4185</v>
      </c>
      <c r="E15" s="91">
        <f t="shared" si="2"/>
        <v>13170</v>
      </c>
      <c r="F15" s="91">
        <f t="shared" si="2"/>
        <v>10024</v>
      </c>
      <c r="G15" s="91">
        <f t="shared" si="2"/>
        <v>19889</v>
      </c>
      <c r="H15" s="91">
        <f t="shared" si="2"/>
        <v>26771</v>
      </c>
      <c r="I15" s="91">
        <f t="shared" si="2"/>
        <v>108044</v>
      </c>
      <c r="J15" s="91">
        <f t="shared" si="2"/>
        <v>2546</v>
      </c>
      <c r="K15" s="91">
        <f t="shared" si="2"/>
        <v>7032</v>
      </c>
      <c r="L15" s="91">
        <f t="shared" si="2"/>
        <v>5362</v>
      </c>
      <c r="M15" s="91">
        <f t="shared" si="2"/>
        <v>42859</v>
      </c>
      <c r="N15" s="91">
        <f t="shared" si="2"/>
        <v>1742.4500000000016</v>
      </c>
      <c r="O15" s="91">
        <f t="shared" si="2"/>
        <v>4073.1499999999942</v>
      </c>
      <c r="P15" s="91">
        <f t="shared" si="2"/>
        <v>641.18000000000006</v>
      </c>
      <c r="Q15" s="91">
        <f t="shared" si="2"/>
        <v>2084.6900000000032</v>
      </c>
      <c r="R15" s="91">
        <f t="shared" si="2"/>
        <v>8571.4799999999977</v>
      </c>
      <c r="S15" s="91">
        <f t="shared" si="2"/>
        <v>29497.410000000003</v>
      </c>
      <c r="T15" s="91">
        <f t="shared" si="2"/>
        <v>8598</v>
      </c>
      <c r="U15" s="91">
        <f t="shared" si="2"/>
        <v>23137</v>
      </c>
      <c r="V15" s="91">
        <f t="shared" si="2"/>
        <v>5104</v>
      </c>
      <c r="W15" s="91">
        <f t="shared" si="2"/>
        <v>20004</v>
      </c>
      <c r="X15" s="91">
        <f t="shared" si="2"/>
        <v>59469</v>
      </c>
      <c r="Y15" s="91">
        <f t="shared" si="2"/>
        <v>198357</v>
      </c>
      <c r="Z15" s="91">
        <f t="shared" si="2"/>
        <v>3326</v>
      </c>
      <c r="AA15" s="91">
        <f t="shared" si="2"/>
        <v>11114</v>
      </c>
      <c r="AB15" s="91">
        <f t="shared" si="2"/>
        <v>1418.5499999999984</v>
      </c>
      <c r="AC15" s="91">
        <f t="shared" si="2"/>
        <v>4385.2699999999986</v>
      </c>
      <c r="AD15" s="91">
        <f t="shared" si="2"/>
        <v>4965</v>
      </c>
      <c r="AE15" s="91">
        <f t="shared" si="2"/>
        <v>21110</v>
      </c>
      <c r="AF15" s="91">
        <f t="shared" si="2"/>
        <v>821</v>
      </c>
      <c r="AG15" s="91">
        <f t="shared" si="2"/>
        <v>2611</v>
      </c>
      <c r="AH15" s="91">
        <f t="shared" si="2"/>
        <v>1564.0199999999977</v>
      </c>
      <c r="AI15" s="91">
        <f t="shared" si="2"/>
        <v>5750.8399999999929</v>
      </c>
      <c r="AJ15" s="91">
        <f t="shared" si="2"/>
        <v>1177</v>
      </c>
      <c r="AK15" s="91">
        <f t="shared" si="2"/>
        <v>4549</v>
      </c>
      <c r="AL15" s="91">
        <f t="shared" si="2"/>
        <v>12995.919999999976</v>
      </c>
      <c r="AM15" s="91">
        <f t="shared" si="2"/>
        <v>39264.910000000062</v>
      </c>
      <c r="AN15" s="91">
        <f t="shared" si="2"/>
        <v>403</v>
      </c>
      <c r="AO15" s="91">
        <f t="shared" si="2"/>
        <v>1043</v>
      </c>
      <c r="AP15" s="91">
        <f t="shared" si="2"/>
        <v>454</v>
      </c>
      <c r="AQ15" s="91">
        <f t="shared" si="2"/>
        <v>1702</v>
      </c>
      <c r="AR15" s="91">
        <f t="shared" si="2"/>
        <v>2645</v>
      </c>
      <c r="AS15" s="91">
        <f t="shared" si="2"/>
        <v>12969</v>
      </c>
      <c r="AT15" s="91">
        <f t="shared" si="2"/>
        <v>5480</v>
      </c>
      <c r="AU15" s="91">
        <f t="shared" si="2"/>
        <v>20115</v>
      </c>
      <c r="AV15" s="91">
        <f t="shared" si="2"/>
        <v>10130</v>
      </c>
      <c r="AW15" s="91">
        <f t="shared" si="2"/>
        <v>35268</v>
      </c>
      <c r="AX15" s="91">
        <f t="shared" si="2"/>
        <v>11176</v>
      </c>
      <c r="AY15" s="91">
        <f t="shared" si="2"/>
        <v>29932</v>
      </c>
      <c r="AZ15" s="91">
        <f t="shared" si="2"/>
        <v>4289</v>
      </c>
      <c r="BA15" s="91">
        <f t="shared" si="2"/>
        <v>14920</v>
      </c>
      <c r="BB15" s="91">
        <f t="shared" si="2"/>
        <v>541</v>
      </c>
      <c r="BC15" s="91">
        <f t="shared" si="2"/>
        <v>9161</v>
      </c>
      <c r="BD15" s="91">
        <f t="shared" si="2"/>
        <v>15372</v>
      </c>
      <c r="BE15" s="91">
        <f t="shared" si="2"/>
        <v>51088</v>
      </c>
      <c r="BF15" s="91">
        <f t="shared" si="2"/>
        <v>4287</v>
      </c>
      <c r="BG15" s="91">
        <f t="shared" si="2"/>
        <v>18476</v>
      </c>
      <c r="BH15" s="91">
        <f t="shared" si="2"/>
        <v>6585</v>
      </c>
      <c r="BI15" s="91">
        <f t="shared" si="2"/>
        <v>30109</v>
      </c>
      <c r="BJ15" s="91">
        <f t="shared" si="2"/>
        <v>2713</v>
      </c>
      <c r="BK15" s="91">
        <f t="shared" si="2"/>
        <v>13902</v>
      </c>
      <c r="BL15" s="68">
        <f t="shared" si="0"/>
        <v>224898.59999999995</v>
      </c>
      <c r="BM15" s="68">
        <f t="shared" si="1"/>
        <v>800847.27</v>
      </c>
    </row>
    <row r="16" spans="1:65" x14ac:dyDescent="0.25">
      <c r="A16" s="20" t="s">
        <v>180</v>
      </c>
      <c r="B16" s="76">
        <v>28</v>
      </c>
      <c r="C16" s="76">
        <v>77</v>
      </c>
      <c r="D16" s="76"/>
      <c r="E16" s="76"/>
      <c r="F16" s="76"/>
      <c r="G16" s="76"/>
      <c r="H16" s="91">
        <v>853</v>
      </c>
      <c r="I16" s="91">
        <v>1665</v>
      </c>
      <c r="J16" s="91">
        <v>69</v>
      </c>
      <c r="K16" s="91">
        <v>82</v>
      </c>
      <c r="L16" s="91"/>
      <c r="M16" s="76"/>
      <c r="N16" s="76"/>
      <c r="O16" s="76"/>
      <c r="P16" s="91">
        <v>30.1</v>
      </c>
      <c r="Q16" s="91">
        <v>104.23</v>
      </c>
      <c r="R16" s="91">
        <v>59.54</v>
      </c>
      <c r="S16" s="91">
        <v>579.21</v>
      </c>
      <c r="T16" s="76">
        <v>45</v>
      </c>
      <c r="U16" s="76">
        <v>59</v>
      </c>
      <c r="V16" s="91">
        <v>352</v>
      </c>
      <c r="W16" s="91">
        <v>811</v>
      </c>
      <c r="X16" s="91">
        <v>872</v>
      </c>
      <c r="Y16" s="91">
        <v>1504</v>
      </c>
      <c r="Z16" s="76"/>
      <c r="AA16" s="76"/>
      <c r="AB16" s="76"/>
      <c r="AC16" s="76"/>
      <c r="AD16" s="91">
        <v>1086</v>
      </c>
      <c r="AE16" s="91">
        <v>1497</v>
      </c>
      <c r="AF16" s="69">
        <v>25</v>
      </c>
      <c r="AG16" s="91">
        <v>30</v>
      </c>
      <c r="AH16" s="76"/>
      <c r="AI16" s="76"/>
      <c r="AJ16" s="91"/>
      <c r="AK16" s="91"/>
      <c r="AL16" s="91">
        <v>5858.21</v>
      </c>
      <c r="AM16" s="91">
        <v>8130.79</v>
      </c>
      <c r="AN16" s="76">
        <v>34</v>
      </c>
      <c r="AO16" s="91">
        <v>60</v>
      </c>
      <c r="AP16" s="91">
        <v>16</v>
      </c>
      <c r="AQ16" s="91">
        <v>59</v>
      </c>
      <c r="AR16" s="76"/>
      <c r="AS16" s="76"/>
      <c r="AT16" s="91">
        <v>10</v>
      </c>
      <c r="AU16" s="91">
        <v>29</v>
      </c>
      <c r="AV16" s="76"/>
      <c r="AW16" s="76"/>
      <c r="AX16" s="76">
        <v>172</v>
      </c>
      <c r="AY16" s="76">
        <v>350</v>
      </c>
      <c r="AZ16" s="76"/>
      <c r="BA16" s="76"/>
      <c r="BB16" s="91">
        <v>-230</v>
      </c>
      <c r="BC16" s="91">
        <v>198</v>
      </c>
      <c r="BD16" s="91">
        <v>528</v>
      </c>
      <c r="BE16" s="91">
        <v>7235</v>
      </c>
      <c r="BF16" s="76"/>
      <c r="BG16" s="76"/>
      <c r="BH16" s="91"/>
      <c r="BI16" s="91">
        <v>47</v>
      </c>
      <c r="BJ16" s="76"/>
      <c r="BK16" s="76"/>
      <c r="BL16" s="68">
        <f t="shared" si="0"/>
        <v>9807.85</v>
      </c>
      <c r="BM16" s="68">
        <f t="shared" si="1"/>
        <v>22517.23</v>
      </c>
    </row>
    <row r="17" spans="1:65" s="7" customFormat="1" x14ac:dyDescent="0.25">
      <c r="A17" s="3" t="s">
        <v>40</v>
      </c>
      <c r="B17" s="10">
        <v>12184</v>
      </c>
      <c r="C17" s="10">
        <v>46876</v>
      </c>
      <c r="D17" s="10">
        <v>24066</v>
      </c>
      <c r="E17" s="10">
        <v>74610</v>
      </c>
      <c r="F17" s="10">
        <v>16734</v>
      </c>
      <c r="G17" s="10">
        <v>40923</v>
      </c>
      <c r="H17" s="10">
        <v>60197</v>
      </c>
      <c r="I17" s="10">
        <v>216483</v>
      </c>
      <c r="J17" s="10">
        <v>34274</v>
      </c>
      <c r="K17" s="10">
        <v>107080</v>
      </c>
      <c r="L17" s="10">
        <v>36730</v>
      </c>
      <c r="M17" s="10">
        <v>133192</v>
      </c>
      <c r="N17" s="10">
        <v>9128.7800000000007</v>
      </c>
      <c r="O17" s="10">
        <v>28151.55</v>
      </c>
      <c r="P17" s="10">
        <v>4076.87</v>
      </c>
      <c r="Q17" s="10">
        <v>14265.66</v>
      </c>
      <c r="R17" s="10">
        <v>28683.08</v>
      </c>
      <c r="S17" s="10">
        <v>99876.12</v>
      </c>
      <c r="T17" s="10">
        <v>49885</v>
      </c>
      <c r="U17" s="10">
        <v>145556</v>
      </c>
      <c r="V17" s="10">
        <v>48871</v>
      </c>
      <c r="W17" s="10">
        <v>194248</v>
      </c>
      <c r="X17" s="10">
        <v>107737</v>
      </c>
      <c r="Y17" s="10">
        <v>392013</v>
      </c>
      <c r="Z17" s="10">
        <v>24329</v>
      </c>
      <c r="AA17" s="10">
        <v>94526</v>
      </c>
      <c r="AB17" s="10">
        <v>8225.43</v>
      </c>
      <c r="AC17" s="10">
        <v>23768.17</v>
      </c>
      <c r="AD17" s="10">
        <v>10833</v>
      </c>
      <c r="AE17" s="10">
        <v>48935</v>
      </c>
      <c r="AF17" s="10">
        <v>17461</v>
      </c>
      <c r="AG17" s="10">
        <v>57032</v>
      </c>
      <c r="AH17" s="10">
        <v>11127.63</v>
      </c>
      <c r="AI17" s="10">
        <v>39780.74</v>
      </c>
      <c r="AJ17" s="10">
        <v>29565</v>
      </c>
      <c r="AK17" s="10">
        <v>85739</v>
      </c>
      <c r="AL17" s="10">
        <v>92325.95</v>
      </c>
      <c r="AM17" s="10">
        <v>280516.15000000002</v>
      </c>
      <c r="AN17" s="10">
        <v>2424</v>
      </c>
      <c r="AO17" s="10">
        <v>13182</v>
      </c>
      <c r="AP17" s="10">
        <v>3920</v>
      </c>
      <c r="AQ17" s="10">
        <v>15135</v>
      </c>
      <c r="AR17" s="10">
        <v>54567</v>
      </c>
      <c r="AS17" s="10">
        <v>183063</v>
      </c>
      <c r="AT17" s="10">
        <v>16761</v>
      </c>
      <c r="AU17" s="10">
        <v>55680</v>
      </c>
      <c r="AV17" s="10">
        <v>39546</v>
      </c>
      <c r="AW17" s="10">
        <v>131431</v>
      </c>
      <c r="AX17" s="10">
        <v>16216</v>
      </c>
      <c r="AY17" s="10">
        <v>47489</v>
      </c>
      <c r="AZ17" s="10">
        <v>54637</v>
      </c>
      <c r="BA17" s="10">
        <v>183853</v>
      </c>
      <c r="BB17" s="10">
        <v>64096</v>
      </c>
      <c r="BC17" s="10">
        <v>223168</v>
      </c>
      <c r="BD17" s="10">
        <v>113307</v>
      </c>
      <c r="BE17" s="10">
        <v>401378</v>
      </c>
      <c r="BF17" s="10">
        <v>108126</v>
      </c>
      <c r="BG17" s="10">
        <v>318978</v>
      </c>
      <c r="BH17" s="10">
        <v>151994</v>
      </c>
      <c r="BI17" s="10">
        <v>414093</v>
      </c>
      <c r="BJ17" s="10">
        <v>8803</v>
      </c>
      <c r="BK17" s="10">
        <v>33050</v>
      </c>
      <c r="BL17" s="63">
        <f t="shared" si="0"/>
        <v>1260830.74</v>
      </c>
      <c r="BM17" s="63">
        <f t="shared" si="1"/>
        <v>4144071.39</v>
      </c>
    </row>
  </sheetData>
  <mergeCells count="32">
    <mergeCell ref="J3:K3"/>
    <mergeCell ref="B3:C3"/>
    <mergeCell ref="D3:E3"/>
    <mergeCell ref="F3:G3"/>
    <mergeCell ref="H3:I3"/>
    <mergeCell ref="BB3:BC3"/>
    <mergeCell ref="AF3:AG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R3:AS3"/>
    <mergeCell ref="AT3:AU3"/>
    <mergeCell ref="AV3:AW3"/>
    <mergeCell ref="AX3:AY3"/>
    <mergeCell ref="AZ3:BA3"/>
    <mergeCell ref="AH3:AI3"/>
    <mergeCell ref="AJ3:AK3"/>
    <mergeCell ref="AL3:AM3"/>
    <mergeCell ref="AN3:AO3"/>
    <mergeCell ref="AP3:AQ3"/>
    <mergeCell ref="BF3:BG3"/>
    <mergeCell ref="BH3:BI3"/>
    <mergeCell ref="BJ3:BK3"/>
    <mergeCell ref="BL3:BM3"/>
    <mergeCell ref="BD3:B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32" width="16" style="71" customWidth="1"/>
    <col min="33" max="33" width="16" style="7" customWidth="1"/>
    <col min="34" max="16384" width="9.140625" style="71"/>
  </cols>
  <sheetData>
    <row r="1" spans="1:33" ht="18.75" x14ac:dyDescent="0.3">
      <c r="A1" s="8" t="s">
        <v>310</v>
      </c>
    </row>
    <row r="2" spans="1:33" x14ac:dyDescent="0.25">
      <c r="A2" s="71" t="s">
        <v>98</v>
      </c>
    </row>
    <row r="3" spans="1:33" x14ac:dyDescent="0.25">
      <c r="A3" s="1" t="s">
        <v>0</v>
      </c>
      <c r="B3" s="103" t="s">
        <v>1</v>
      </c>
      <c r="C3" s="103" t="s">
        <v>234</v>
      </c>
      <c r="D3" s="103" t="s">
        <v>2</v>
      </c>
      <c r="E3" s="103" t="s">
        <v>3</v>
      </c>
      <c r="F3" s="103" t="s">
        <v>243</v>
      </c>
      <c r="G3" s="103" t="s">
        <v>235</v>
      </c>
      <c r="H3" s="103" t="s">
        <v>5</v>
      </c>
      <c r="I3" s="103" t="s">
        <v>4</v>
      </c>
      <c r="J3" s="103" t="s">
        <v>6</v>
      </c>
      <c r="K3" s="103" t="s">
        <v>246</v>
      </c>
      <c r="L3" s="103" t="s">
        <v>7</v>
      </c>
      <c r="M3" s="103" t="s">
        <v>8</v>
      </c>
      <c r="N3" s="103" t="s">
        <v>9</v>
      </c>
      <c r="O3" s="103" t="s">
        <v>242</v>
      </c>
      <c r="P3" s="103" t="s">
        <v>10</v>
      </c>
      <c r="Q3" s="103" t="s">
        <v>11</v>
      </c>
      <c r="R3" s="103" t="s">
        <v>236</v>
      </c>
      <c r="S3" s="103" t="s">
        <v>245</v>
      </c>
      <c r="T3" s="103" t="s">
        <v>12</v>
      </c>
      <c r="U3" s="103" t="s">
        <v>237</v>
      </c>
      <c r="V3" s="103" t="s">
        <v>238</v>
      </c>
      <c r="W3" s="103" t="s">
        <v>241</v>
      </c>
      <c r="X3" s="103" t="s">
        <v>13</v>
      </c>
      <c r="Y3" s="103" t="s">
        <v>14</v>
      </c>
      <c r="Z3" s="103" t="s">
        <v>15</v>
      </c>
      <c r="AA3" s="103" t="s">
        <v>16</v>
      </c>
      <c r="AB3" s="103" t="s">
        <v>17</v>
      </c>
      <c r="AC3" s="102" t="s">
        <v>239</v>
      </c>
      <c r="AD3" s="102" t="s">
        <v>240</v>
      </c>
      <c r="AE3" s="102" t="s">
        <v>18</v>
      </c>
      <c r="AF3" s="103" t="s">
        <v>19</v>
      </c>
      <c r="AG3" s="84" t="s">
        <v>20</v>
      </c>
    </row>
    <row r="4" spans="1:33" x14ac:dyDescent="0.25">
      <c r="A4" s="76" t="s">
        <v>33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>
        <v>6</v>
      </c>
      <c r="AD4" s="91">
        <v>26</v>
      </c>
      <c r="AE4" s="91">
        <v>136</v>
      </c>
      <c r="AF4" s="91"/>
      <c r="AG4" s="64">
        <f t="shared" ref="AG4:AG11" si="0">SUM(B4:AF4)</f>
        <v>168</v>
      </c>
    </row>
    <row r="5" spans="1:33" x14ac:dyDescent="0.25">
      <c r="A5" s="76" t="s">
        <v>34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64">
        <f t="shared" si="0"/>
        <v>0</v>
      </c>
    </row>
    <row r="6" spans="1:33" x14ac:dyDescent="0.25">
      <c r="A6" s="76" t="s">
        <v>35</v>
      </c>
      <c r="B6" s="91"/>
      <c r="C6" s="91">
        <v>138288</v>
      </c>
      <c r="D6" s="91"/>
      <c r="E6" s="91">
        <v>16662</v>
      </c>
      <c r="F6" s="91">
        <f>26148+11544</f>
        <v>37692</v>
      </c>
      <c r="G6" s="91">
        <v>14326</v>
      </c>
      <c r="H6" s="91">
        <v>355438.49</v>
      </c>
      <c r="I6" s="91"/>
      <c r="J6" s="91"/>
      <c r="K6" s="91">
        <v>194872</v>
      </c>
      <c r="L6" s="91">
        <f>140125+1534</f>
        <v>141659</v>
      </c>
      <c r="M6" s="91">
        <v>640422</v>
      </c>
      <c r="N6" s="91">
        <v>84599</v>
      </c>
      <c r="O6" s="91"/>
      <c r="P6" s="91">
        <v>74812</v>
      </c>
      <c r="Q6" s="91">
        <v>27803</v>
      </c>
      <c r="R6" s="91">
        <v>35414.639999999999</v>
      </c>
      <c r="S6" s="91">
        <f>5675+6836</f>
        <v>12511</v>
      </c>
      <c r="T6" s="91"/>
      <c r="U6" s="91"/>
      <c r="V6" s="91">
        <v>14609</v>
      </c>
      <c r="W6" s="91">
        <v>77070</v>
      </c>
      <c r="X6" s="91">
        <v>25500</v>
      </c>
      <c r="Y6" s="91">
        <v>133901</v>
      </c>
      <c r="Z6" s="91">
        <v>20</v>
      </c>
      <c r="AA6" s="91">
        <v>570306</v>
      </c>
      <c r="AB6" s="91">
        <v>47054</v>
      </c>
      <c r="AC6" s="91">
        <v>189085</v>
      </c>
      <c r="AD6" s="91"/>
      <c r="AE6" s="91"/>
      <c r="AF6" s="91">
        <v>16762</v>
      </c>
      <c r="AG6" s="64">
        <f t="shared" si="0"/>
        <v>2848806.13</v>
      </c>
    </row>
    <row r="7" spans="1:33" x14ac:dyDescent="0.25">
      <c r="A7" s="76" t="s">
        <v>36</v>
      </c>
      <c r="B7" s="91"/>
      <c r="C7" s="91"/>
      <c r="D7" s="91">
        <v>517230</v>
      </c>
      <c r="E7" s="91"/>
      <c r="F7" s="91"/>
      <c r="G7" s="91">
        <v>83476</v>
      </c>
      <c r="H7" s="91"/>
      <c r="I7" s="91"/>
      <c r="J7" s="91"/>
      <c r="K7" s="91"/>
      <c r="L7" s="91"/>
      <c r="M7" s="91">
        <v>6108</v>
      </c>
      <c r="N7" s="91"/>
      <c r="O7" s="91"/>
      <c r="P7" s="91"/>
      <c r="Q7" s="91"/>
      <c r="R7" s="91"/>
      <c r="S7" s="91"/>
      <c r="T7" s="91"/>
      <c r="U7" s="91"/>
      <c r="V7" s="91"/>
      <c r="W7" s="91"/>
      <c r="X7" s="91">
        <v>1000</v>
      </c>
      <c r="Y7" s="91"/>
      <c r="Z7" s="91"/>
      <c r="AA7" s="91"/>
      <c r="AB7" s="91">
        <v>3187</v>
      </c>
      <c r="AC7" s="91">
        <f>1462043+16427</f>
        <v>1478470</v>
      </c>
      <c r="AD7" s="91"/>
      <c r="AE7" s="91"/>
      <c r="AF7" s="91"/>
      <c r="AG7" s="64">
        <f t="shared" si="0"/>
        <v>2089471</v>
      </c>
    </row>
    <row r="8" spans="1:33" x14ac:dyDescent="0.25">
      <c r="A8" s="76" t="s">
        <v>37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64">
        <f t="shared" si="0"/>
        <v>0</v>
      </c>
    </row>
    <row r="9" spans="1:33" x14ac:dyDescent="0.25">
      <c r="A9" s="76" t="s">
        <v>38</v>
      </c>
      <c r="B9" s="91">
        <f>B11-B10-B8-B7-B6-B5-B4</f>
        <v>918</v>
      </c>
      <c r="C9" s="91">
        <f t="shared" ref="C9:AB9" si="1">C11-C10-C8-C7-C6-C5-C4</f>
        <v>0</v>
      </c>
      <c r="D9" s="91">
        <f>D11-D10-D8-D7-D6-D5-D4</f>
        <v>0</v>
      </c>
      <c r="E9" s="91">
        <f t="shared" si="1"/>
        <v>0</v>
      </c>
      <c r="F9" s="91">
        <f t="shared" si="1"/>
        <v>371</v>
      </c>
      <c r="G9" s="91">
        <f t="shared" si="1"/>
        <v>2000</v>
      </c>
      <c r="H9" s="91">
        <f t="shared" si="1"/>
        <v>6000</v>
      </c>
      <c r="I9" s="91">
        <f t="shared" si="1"/>
        <v>0</v>
      </c>
      <c r="J9" s="91">
        <f t="shared" si="1"/>
        <v>0</v>
      </c>
      <c r="K9" s="91">
        <f t="shared" si="1"/>
        <v>2634</v>
      </c>
      <c r="L9" s="91">
        <f t="shared" si="1"/>
        <v>33595</v>
      </c>
      <c r="M9" s="91">
        <f t="shared" si="1"/>
        <v>0</v>
      </c>
      <c r="N9" s="91">
        <f t="shared" si="1"/>
        <v>12</v>
      </c>
      <c r="O9" s="91">
        <f t="shared" si="1"/>
        <v>0</v>
      </c>
      <c r="P9" s="91">
        <f t="shared" si="1"/>
        <v>0</v>
      </c>
      <c r="Q9" s="91">
        <f t="shared" si="1"/>
        <v>0</v>
      </c>
      <c r="R9" s="91">
        <f t="shared" si="1"/>
        <v>0</v>
      </c>
      <c r="S9" s="91">
        <f t="shared" si="1"/>
        <v>29</v>
      </c>
      <c r="T9" s="91">
        <f t="shared" si="1"/>
        <v>1530.03</v>
      </c>
      <c r="U9" s="91">
        <f t="shared" si="1"/>
        <v>0</v>
      </c>
      <c r="V9" s="91">
        <f t="shared" si="1"/>
        <v>0</v>
      </c>
      <c r="W9" s="91">
        <f t="shared" si="1"/>
        <v>2077</v>
      </c>
      <c r="X9" s="91">
        <f t="shared" si="1"/>
        <v>1260</v>
      </c>
      <c r="Y9" s="91">
        <f t="shared" si="1"/>
        <v>0</v>
      </c>
      <c r="Z9" s="91">
        <f t="shared" si="1"/>
        <v>-1</v>
      </c>
      <c r="AA9" s="91">
        <f t="shared" si="1"/>
        <v>1500</v>
      </c>
      <c r="AB9" s="91">
        <f t="shared" si="1"/>
        <v>2776</v>
      </c>
      <c r="AC9" s="91">
        <f t="shared" ref="AC9:AF9" si="2">AC11-AC10-AC8-AC7-AC6-AC5-AC4</f>
        <v>155231</v>
      </c>
      <c r="AD9" s="91">
        <f t="shared" si="2"/>
        <v>0</v>
      </c>
      <c r="AE9" s="91">
        <f t="shared" si="2"/>
        <v>13116</v>
      </c>
      <c r="AF9" s="91">
        <f t="shared" si="2"/>
        <v>-1</v>
      </c>
      <c r="AG9" s="64">
        <f t="shared" si="0"/>
        <v>223047.03</v>
      </c>
    </row>
    <row r="10" spans="1:33" x14ac:dyDescent="0.25">
      <c r="A10" s="56" t="s">
        <v>39</v>
      </c>
      <c r="B10" s="91"/>
      <c r="C10" s="91"/>
      <c r="D10" s="91"/>
      <c r="E10" s="91">
        <v>807176</v>
      </c>
      <c r="F10" s="91"/>
      <c r="G10" s="91">
        <v>66476</v>
      </c>
      <c r="H10" s="91">
        <v>27650</v>
      </c>
      <c r="I10" s="91"/>
      <c r="J10" s="91">
        <v>33203.68</v>
      </c>
      <c r="K10" s="91"/>
      <c r="L10" s="91">
        <f>77839+26848</f>
        <v>104687</v>
      </c>
      <c r="M10" s="91">
        <v>215346</v>
      </c>
      <c r="N10" s="91">
        <v>210974</v>
      </c>
      <c r="O10" s="91"/>
      <c r="P10" s="91"/>
      <c r="Q10" s="91"/>
      <c r="R10" s="91"/>
      <c r="S10" s="91"/>
      <c r="T10" s="91"/>
      <c r="U10" s="91"/>
      <c r="V10" s="91"/>
      <c r="W10" s="91">
        <v>125655</v>
      </c>
      <c r="X10" s="91">
        <v>73304</v>
      </c>
      <c r="Y10" s="91">
        <v>131926</v>
      </c>
      <c r="Z10" s="91">
        <v>209790</v>
      </c>
      <c r="AA10" s="91"/>
      <c r="AB10" s="91">
        <v>191392</v>
      </c>
      <c r="AC10" s="91"/>
      <c r="AD10" s="91"/>
      <c r="AE10" s="91"/>
      <c r="AF10" s="91">
        <v>59296</v>
      </c>
      <c r="AG10" s="64">
        <f t="shared" si="0"/>
        <v>2256875.6800000002</v>
      </c>
    </row>
    <row r="11" spans="1:33" s="7" customFormat="1" x14ac:dyDescent="0.25">
      <c r="A11" s="10" t="s">
        <v>40</v>
      </c>
      <c r="B11" s="10">
        <v>918</v>
      </c>
      <c r="C11" s="10">
        <v>138288</v>
      </c>
      <c r="D11" s="10">
        <v>517230</v>
      </c>
      <c r="E11" s="10">
        <v>823838</v>
      </c>
      <c r="F11" s="10">
        <v>38063</v>
      </c>
      <c r="G11" s="10">
        <v>166278</v>
      </c>
      <c r="H11" s="10">
        <v>389088.49</v>
      </c>
      <c r="I11" s="10"/>
      <c r="J11" s="10">
        <v>33203.68</v>
      </c>
      <c r="K11" s="10">
        <v>197506</v>
      </c>
      <c r="L11" s="10">
        <v>279941</v>
      </c>
      <c r="M11" s="10">
        <v>861876</v>
      </c>
      <c r="N11" s="10">
        <v>295585</v>
      </c>
      <c r="O11" s="10"/>
      <c r="P11" s="10">
        <v>74812</v>
      </c>
      <c r="Q11" s="10">
        <v>27803</v>
      </c>
      <c r="R11" s="10">
        <v>35414.639999999999</v>
      </c>
      <c r="S11" s="10">
        <v>12540</v>
      </c>
      <c r="T11" s="10">
        <v>1530.03</v>
      </c>
      <c r="U11" s="10"/>
      <c r="V11" s="10">
        <v>14609</v>
      </c>
      <c r="W11" s="10">
        <v>204802</v>
      </c>
      <c r="X11" s="10">
        <v>101064</v>
      </c>
      <c r="Y11" s="10">
        <v>265827</v>
      </c>
      <c r="Z11" s="10">
        <v>209809</v>
      </c>
      <c r="AA11" s="10">
        <v>571806</v>
      </c>
      <c r="AB11" s="10">
        <v>244409</v>
      </c>
      <c r="AC11" s="10">
        <v>1822792</v>
      </c>
      <c r="AD11" s="10">
        <v>26</v>
      </c>
      <c r="AE11" s="10">
        <v>13252</v>
      </c>
      <c r="AF11" s="10">
        <v>76057</v>
      </c>
      <c r="AG11" s="63">
        <f t="shared" si="0"/>
        <v>7418367.8399999999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32" width="16" style="71" customWidth="1"/>
    <col min="33" max="16384" width="9.140625" style="71"/>
  </cols>
  <sheetData>
    <row r="1" spans="1:32" ht="18.75" x14ac:dyDescent="0.3">
      <c r="A1" s="12" t="s">
        <v>309</v>
      </c>
    </row>
    <row r="2" spans="1:32" x14ac:dyDescent="0.25">
      <c r="A2" s="13" t="s">
        <v>98</v>
      </c>
    </row>
    <row r="3" spans="1:32" x14ac:dyDescent="0.25">
      <c r="A3" s="1" t="s">
        <v>0</v>
      </c>
      <c r="B3" s="122" t="s">
        <v>1</v>
      </c>
      <c r="C3" s="122" t="s">
        <v>234</v>
      </c>
      <c r="D3" s="122" t="s">
        <v>2</v>
      </c>
      <c r="E3" s="122" t="s">
        <v>3</v>
      </c>
      <c r="F3" s="122" t="s">
        <v>243</v>
      </c>
      <c r="G3" s="122" t="s">
        <v>235</v>
      </c>
      <c r="H3" s="122" t="s">
        <v>246</v>
      </c>
      <c r="I3" s="122" t="s">
        <v>5</v>
      </c>
      <c r="J3" s="122" t="s">
        <v>4</v>
      </c>
      <c r="K3" s="136" t="s">
        <v>6</v>
      </c>
      <c r="L3" s="136" t="s">
        <v>7</v>
      </c>
      <c r="M3" s="136" t="s">
        <v>8</v>
      </c>
      <c r="N3" s="122" t="s">
        <v>9</v>
      </c>
      <c r="O3" s="122" t="s">
        <v>242</v>
      </c>
      <c r="P3" s="122" t="s">
        <v>10</v>
      </c>
      <c r="Q3" s="122" t="s">
        <v>11</v>
      </c>
      <c r="R3" s="122" t="s">
        <v>236</v>
      </c>
      <c r="S3" s="122" t="s">
        <v>245</v>
      </c>
      <c r="T3" s="122" t="s">
        <v>12</v>
      </c>
      <c r="U3" s="122" t="s">
        <v>237</v>
      </c>
      <c r="V3" s="122" t="s">
        <v>238</v>
      </c>
      <c r="W3" s="122" t="s">
        <v>241</v>
      </c>
      <c r="X3" s="122" t="s">
        <v>13</v>
      </c>
      <c r="Y3" s="122" t="s">
        <v>14</v>
      </c>
      <c r="Z3" s="122" t="s">
        <v>15</v>
      </c>
      <c r="AA3" s="122" t="s">
        <v>16</v>
      </c>
      <c r="AB3" s="122" t="s">
        <v>17</v>
      </c>
      <c r="AC3" s="121" t="s">
        <v>239</v>
      </c>
      <c r="AD3" s="121" t="s">
        <v>240</v>
      </c>
      <c r="AE3" s="121" t="s">
        <v>18</v>
      </c>
      <c r="AF3" s="122" t="s">
        <v>19</v>
      </c>
    </row>
    <row r="4" spans="1:32" x14ac:dyDescent="0.25">
      <c r="A4" s="91" t="s">
        <v>271</v>
      </c>
      <c r="B4" s="91"/>
      <c r="C4" s="91"/>
      <c r="D4" s="91"/>
      <c r="E4" s="91"/>
      <c r="F4" s="91"/>
      <c r="G4" s="91">
        <v>10000</v>
      </c>
      <c r="H4" s="91"/>
      <c r="I4" s="91"/>
      <c r="J4" s="91"/>
      <c r="K4" s="91"/>
      <c r="L4" s="91">
        <v>52900</v>
      </c>
      <c r="M4" s="71">
        <v>25500</v>
      </c>
      <c r="N4" s="91"/>
      <c r="O4" s="91"/>
      <c r="P4" s="91"/>
      <c r="Q4" s="91">
        <v>10000</v>
      </c>
      <c r="R4" s="91">
        <v>11100</v>
      </c>
      <c r="S4" s="91">
        <v>25000</v>
      </c>
      <c r="T4" s="91">
        <v>89500</v>
      </c>
      <c r="U4" s="91"/>
      <c r="V4" s="91"/>
      <c r="W4" s="91">
        <v>23000</v>
      </c>
      <c r="X4" s="91">
        <v>12600</v>
      </c>
      <c r="Y4" s="91"/>
      <c r="Z4" s="91"/>
      <c r="AA4" s="91">
        <v>72000</v>
      </c>
      <c r="AB4" s="91">
        <v>18500</v>
      </c>
      <c r="AC4" s="91"/>
      <c r="AD4" s="91">
        <v>75000</v>
      </c>
      <c r="AE4" s="91">
        <v>90000</v>
      </c>
      <c r="AF4" s="91"/>
    </row>
    <row r="5" spans="1:32" x14ac:dyDescent="0.25">
      <c r="A5" s="91" t="s">
        <v>272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>
        <v>22</v>
      </c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</row>
    <row r="6" spans="1:32" x14ac:dyDescent="0.25">
      <c r="A6" s="91" t="s">
        <v>273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</row>
    <row r="7" spans="1:32" x14ac:dyDescent="0.25">
      <c r="A7" s="91" t="s">
        <v>31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</row>
    <row r="8" spans="1:32" s="7" customFormat="1" x14ac:dyDescent="0.25">
      <c r="A8" s="10" t="s">
        <v>40</v>
      </c>
      <c r="B8" s="10"/>
      <c r="C8" s="10"/>
      <c r="D8" s="10"/>
      <c r="E8" s="10"/>
      <c r="F8" s="10"/>
      <c r="G8" s="10">
        <v>10000</v>
      </c>
      <c r="H8" s="10"/>
      <c r="I8" s="10"/>
      <c r="J8" s="10"/>
      <c r="K8" s="10"/>
      <c r="L8" s="10">
        <v>52900</v>
      </c>
      <c r="M8" s="10">
        <v>25500</v>
      </c>
      <c r="N8" s="10"/>
      <c r="O8" s="10"/>
      <c r="P8" s="10"/>
      <c r="Q8" s="10">
        <v>10021</v>
      </c>
      <c r="R8" s="10">
        <v>11100</v>
      </c>
      <c r="S8" s="10">
        <v>25000</v>
      </c>
      <c r="T8" s="10">
        <v>89500</v>
      </c>
      <c r="U8" s="10"/>
      <c r="V8" s="10"/>
      <c r="W8" s="10">
        <v>23000</v>
      </c>
      <c r="X8" s="10">
        <v>12600</v>
      </c>
      <c r="Y8" s="10"/>
      <c r="Z8" s="10"/>
      <c r="AA8" s="10">
        <v>72000</v>
      </c>
      <c r="AB8" s="10">
        <v>18500</v>
      </c>
      <c r="AC8" s="10"/>
      <c r="AD8" s="10">
        <v>75000</v>
      </c>
      <c r="AE8" s="10">
        <v>90000</v>
      </c>
      <c r="AF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NL11</vt:lpstr>
      <vt:lpstr>NL12</vt:lpstr>
      <vt:lpstr>NL13</vt:lpstr>
      <vt:lpstr>NL14</vt:lpstr>
      <vt:lpstr>NL15</vt:lpstr>
      <vt:lpstr>NL17</vt:lpstr>
      <vt:lpstr>NL18</vt:lpstr>
      <vt:lpstr>NL20</vt:lpstr>
      <vt:lpstr>NL26</vt:lpstr>
      <vt:lpstr>NL33</vt:lpstr>
      <vt:lpstr>NL36</vt:lpstr>
      <vt:lpstr>NL44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2022-10-03T04:26:36Z</dcterms:modified>
</cp:coreProperties>
</file>